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codeName="ThisWorkbook"/>
  <bookViews>
    <workbookView xWindow="0" yWindow="0" windowWidth="20490" windowHeight="8595"/>
  </bookViews>
  <sheets>
    <sheet name="Aviones Semejantes Long-Range" sheetId="1" r:id="rId1"/>
    <sheet name="Constants" sheetId="5" r:id="rId2"/>
  </sheets>
  <definedNames>
    <definedName name="_xlnm.Print_Area" localSheetId="0">'Aviones Semejantes Long-Range'!$A$1:$O$108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91" i="1" l="1"/>
  <c r="I92" i="1"/>
  <c r="I90" i="1"/>
  <c r="I89" i="1"/>
  <c r="G67" i="1" l="1"/>
  <c r="G75" i="1" s="1"/>
  <c r="H67" i="1"/>
  <c r="H75" i="1" s="1"/>
  <c r="J67" i="1"/>
  <c r="J75" i="1" s="1"/>
  <c r="K67" i="1"/>
  <c r="K75" i="1" s="1"/>
  <c r="L67" i="1"/>
  <c r="L75" i="1" s="1"/>
  <c r="M67" i="1"/>
  <c r="M75" i="1" s="1"/>
  <c r="N67" i="1"/>
  <c r="N75" i="1" s="1"/>
  <c r="O67" i="1"/>
  <c r="O75" i="1" s="1"/>
  <c r="F67" i="1"/>
  <c r="F75" i="1" s="1"/>
  <c r="F98" i="1" l="1"/>
  <c r="G98" i="1"/>
  <c r="H98" i="1"/>
  <c r="I98" i="1"/>
  <c r="J98" i="1"/>
  <c r="K98" i="1"/>
  <c r="L98" i="1"/>
  <c r="M98" i="1"/>
  <c r="N98" i="1"/>
  <c r="O98" i="1"/>
  <c r="E98" i="1"/>
  <c r="F74" i="1" l="1"/>
  <c r="G74" i="1"/>
  <c r="H74" i="1"/>
  <c r="J74" i="1"/>
  <c r="K74" i="1"/>
  <c r="L74" i="1"/>
  <c r="M74" i="1"/>
  <c r="N74" i="1"/>
  <c r="O74" i="1"/>
  <c r="E74" i="1"/>
  <c r="F72" i="1"/>
  <c r="G72" i="1"/>
  <c r="H72" i="1"/>
  <c r="J72" i="1"/>
  <c r="K72" i="1"/>
  <c r="L72" i="1"/>
  <c r="M72" i="1"/>
  <c r="N72" i="1"/>
  <c r="O72" i="1"/>
  <c r="E72" i="1"/>
  <c r="E77" i="1"/>
  <c r="F71" i="1"/>
  <c r="G71" i="1"/>
  <c r="H71" i="1"/>
  <c r="J71" i="1"/>
  <c r="K71" i="1"/>
  <c r="L71" i="1"/>
  <c r="M71" i="1"/>
  <c r="N71" i="1"/>
  <c r="O71" i="1"/>
  <c r="E71" i="1"/>
  <c r="F76" i="1"/>
  <c r="G76" i="1"/>
  <c r="H76" i="1"/>
  <c r="J76" i="1"/>
  <c r="K76" i="1"/>
  <c r="L76" i="1"/>
  <c r="M76" i="1"/>
  <c r="N76" i="1"/>
  <c r="O76" i="1"/>
  <c r="E76" i="1"/>
  <c r="F70" i="1"/>
  <c r="G70" i="1"/>
  <c r="H70" i="1"/>
  <c r="J70" i="1"/>
  <c r="K70" i="1"/>
  <c r="L70" i="1"/>
  <c r="M70" i="1"/>
  <c r="N70" i="1"/>
  <c r="O70" i="1"/>
  <c r="E70" i="1"/>
  <c r="H73" i="1" l="1"/>
  <c r="H63" i="1" s="1"/>
  <c r="F73" i="1"/>
  <c r="F63" i="1" s="1"/>
  <c r="O73" i="1"/>
  <c r="O63" i="1" s="1"/>
  <c r="N73" i="1"/>
  <c r="N63" i="1" s="1"/>
  <c r="M73" i="1"/>
  <c r="M63" i="1" s="1"/>
  <c r="G73" i="1"/>
  <c r="G63" i="1" s="1"/>
  <c r="E73" i="1"/>
  <c r="E63" i="1" s="1"/>
  <c r="L73" i="1"/>
  <c r="L63" i="1" s="1"/>
  <c r="K73" i="1"/>
  <c r="K63" i="1" s="1"/>
  <c r="J73" i="1"/>
  <c r="J63" i="1" s="1"/>
  <c r="H99" i="1"/>
  <c r="I99" i="1"/>
  <c r="J99" i="1"/>
  <c r="K99" i="1"/>
  <c r="L99" i="1"/>
  <c r="M99" i="1"/>
  <c r="N99" i="1"/>
  <c r="O99" i="1"/>
  <c r="N96" i="1"/>
  <c r="N97" i="1" s="1"/>
  <c r="L96" i="1"/>
  <c r="L97" i="1" s="1"/>
  <c r="M96" i="1"/>
  <c r="M97" i="1" s="1"/>
  <c r="N94" i="1"/>
  <c r="M94" i="1"/>
  <c r="O96" i="1" l="1"/>
  <c r="O94" i="1"/>
  <c r="O95" i="1" s="1"/>
  <c r="K94" i="1" l="1"/>
  <c r="L94" i="1"/>
  <c r="J94" i="1"/>
  <c r="F94" i="1"/>
  <c r="G94" i="1"/>
  <c r="E94" i="1"/>
  <c r="M51" i="1" l="1"/>
  <c r="O51" i="1"/>
  <c r="N51" i="1"/>
  <c r="N25" i="1"/>
  <c r="M25" i="1"/>
  <c r="M21" i="1"/>
  <c r="M37" i="1" s="1"/>
  <c r="M36" i="1" l="1"/>
  <c r="O85" i="1"/>
  <c r="O86" i="1"/>
  <c r="O87" i="1"/>
  <c r="O77" i="1"/>
  <c r="O80" i="1"/>
  <c r="O50" i="1"/>
  <c r="O54" i="1"/>
  <c r="O56" i="1"/>
  <c r="O33" i="1"/>
  <c r="O34" i="1"/>
  <c r="O35" i="1"/>
  <c r="O25" i="1"/>
  <c r="C9" i="5" l="1"/>
  <c r="C7" i="5"/>
  <c r="C5" i="5"/>
  <c r="C3" i="5"/>
  <c r="E96" i="1" l="1"/>
  <c r="F96" i="1"/>
  <c r="G96" i="1"/>
  <c r="H96" i="1"/>
  <c r="J96" i="1"/>
  <c r="I84" i="1"/>
  <c r="I83" i="1"/>
  <c r="I69" i="1"/>
  <c r="I68" i="1"/>
  <c r="I66" i="1"/>
  <c r="I65" i="1"/>
  <c r="I52" i="1"/>
  <c r="K96" i="1"/>
  <c r="I25" i="1"/>
  <c r="J25" i="1"/>
  <c r="K25" i="1"/>
  <c r="L25" i="1"/>
  <c r="K30" i="1"/>
  <c r="I70" i="1" l="1"/>
  <c r="I67" i="1"/>
  <c r="I75" i="1" s="1"/>
  <c r="I72" i="1" s="1"/>
  <c r="I76" i="1"/>
  <c r="I71" i="1"/>
  <c r="F105" i="1"/>
  <c r="F54" i="1"/>
  <c r="G54" i="1"/>
  <c r="H54" i="1"/>
  <c r="I54" i="1"/>
  <c r="J54" i="1"/>
  <c r="K54" i="1"/>
  <c r="L54" i="1"/>
  <c r="M54" i="1"/>
  <c r="N54" i="1"/>
  <c r="E54" i="1"/>
  <c r="I74" i="1" l="1"/>
  <c r="I73" i="1"/>
  <c r="I63" i="1" s="1"/>
  <c r="G77" i="1"/>
  <c r="H77" i="1"/>
  <c r="I77" i="1"/>
  <c r="J77" i="1"/>
  <c r="K77" i="1"/>
  <c r="L77" i="1"/>
  <c r="M77" i="1"/>
  <c r="N77" i="1"/>
  <c r="F77" i="1"/>
  <c r="H94" i="1"/>
  <c r="H95" i="1" s="1"/>
  <c r="I94" i="1"/>
  <c r="I96" i="1"/>
  <c r="G101" i="1" l="1"/>
  <c r="G99" i="1" s="1"/>
  <c r="G105" i="1"/>
  <c r="E105" i="1"/>
  <c r="F101" i="1" l="1"/>
  <c r="F99" i="1" s="1"/>
  <c r="E101" i="1"/>
  <c r="E99" i="1" s="1"/>
  <c r="F21" i="1" l="1"/>
  <c r="F37" i="1" s="1"/>
  <c r="G21" i="1"/>
  <c r="H21" i="1"/>
  <c r="I21" i="1"/>
  <c r="I37" i="1" s="1"/>
  <c r="J21" i="1"/>
  <c r="K21" i="1"/>
  <c r="L21" i="1"/>
  <c r="L37" i="1" s="1"/>
  <c r="N21" i="1"/>
  <c r="N37" i="1" s="1"/>
  <c r="O21" i="1"/>
  <c r="O37" i="1" s="1"/>
  <c r="E21" i="1"/>
  <c r="E37" i="1" s="1"/>
  <c r="N87" i="1"/>
  <c r="N86" i="1"/>
  <c r="N85" i="1"/>
  <c r="N80" i="1"/>
  <c r="N56" i="1"/>
  <c r="N50" i="1"/>
  <c r="N35" i="1"/>
  <c r="N34" i="1"/>
  <c r="N33" i="1"/>
  <c r="M87" i="1"/>
  <c r="M86" i="1"/>
  <c r="M85" i="1"/>
  <c r="M80" i="1"/>
  <c r="M56" i="1"/>
  <c r="M50" i="1"/>
  <c r="M35" i="1"/>
  <c r="M34" i="1"/>
  <c r="M33" i="1"/>
  <c r="L87" i="1"/>
  <c r="L86" i="1"/>
  <c r="L85" i="1"/>
  <c r="L80" i="1"/>
  <c r="L56" i="1"/>
  <c r="L51" i="1"/>
  <c r="L50" i="1"/>
  <c r="L35" i="1"/>
  <c r="L34" i="1"/>
  <c r="L33" i="1"/>
  <c r="K87" i="1"/>
  <c r="K86" i="1"/>
  <c r="K85" i="1"/>
  <c r="K80" i="1"/>
  <c r="K56" i="1"/>
  <c r="K51" i="1"/>
  <c r="K50" i="1"/>
  <c r="K35" i="1"/>
  <c r="K34" i="1"/>
  <c r="K33" i="1"/>
  <c r="J87" i="1"/>
  <c r="J86" i="1"/>
  <c r="J85" i="1"/>
  <c r="J80" i="1"/>
  <c r="J56" i="1"/>
  <c r="J51" i="1"/>
  <c r="J50" i="1"/>
  <c r="J35" i="1"/>
  <c r="J34" i="1"/>
  <c r="J33" i="1"/>
  <c r="I87" i="1"/>
  <c r="I86" i="1"/>
  <c r="I85" i="1"/>
  <c r="I80" i="1"/>
  <c r="I56" i="1"/>
  <c r="I51" i="1"/>
  <c r="I50" i="1"/>
  <c r="I35" i="1"/>
  <c r="I34" i="1"/>
  <c r="I33" i="1"/>
  <c r="E50" i="1"/>
  <c r="H87" i="1"/>
  <c r="H86" i="1"/>
  <c r="H85" i="1"/>
  <c r="H80" i="1"/>
  <c r="H56" i="1"/>
  <c r="H51" i="1"/>
  <c r="H50" i="1"/>
  <c r="H35" i="1"/>
  <c r="H34" i="1"/>
  <c r="H33" i="1"/>
  <c r="G87" i="1"/>
  <c r="G86" i="1"/>
  <c r="G85" i="1"/>
  <c r="G80" i="1"/>
  <c r="G56" i="1"/>
  <c r="G51" i="1"/>
  <c r="G50" i="1"/>
  <c r="G35" i="1"/>
  <c r="G34" i="1"/>
  <c r="G33" i="1"/>
  <c r="J36" i="1" l="1"/>
  <c r="J37" i="1"/>
  <c r="H36" i="1"/>
  <c r="H37" i="1"/>
  <c r="K36" i="1"/>
  <c r="K37" i="1"/>
  <c r="G36" i="1"/>
  <c r="G37" i="1"/>
  <c r="N36" i="1"/>
  <c r="O36" i="1"/>
  <c r="E36" i="1"/>
  <c r="I36" i="1"/>
  <c r="F36" i="1"/>
  <c r="L36" i="1"/>
  <c r="F85" i="1" l="1"/>
  <c r="F86" i="1"/>
  <c r="F87" i="1"/>
  <c r="F80" i="1"/>
  <c r="E80" i="1"/>
  <c r="F56" i="1"/>
  <c r="F51" i="1"/>
  <c r="F50" i="1"/>
  <c r="F33" i="1"/>
  <c r="F34" i="1"/>
  <c r="F35" i="1"/>
  <c r="E87" i="1" l="1"/>
  <c r="E86" i="1"/>
  <c r="E85" i="1"/>
  <c r="E51" i="1"/>
  <c r="E35" i="1"/>
  <c r="E34" i="1"/>
  <c r="E33" i="1"/>
  <c r="E56" i="1"/>
</calcChain>
</file>

<file path=xl/comments1.xml><?xml version="1.0" encoding="utf-8"?>
<comments xmlns="http://schemas.openxmlformats.org/spreadsheetml/2006/main">
  <authors>
    <author>Autor</author>
  </authors>
  <commentList>
    <comment ref="B6" authorId="0" shapeId="0">
      <text>
        <r>
          <rPr>
            <b/>
            <sz val="9"/>
            <color indexed="81"/>
            <rFont val="Tahoma"/>
            <family val="2"/>
          </rPr>
          <t>Autor:</t>
        </r>
        <r>
          <rPr>
            <sz val="9"/>
            <color indexed="81"/>
            <rFont val="Tahoma"/>
            <family val="2"/>
          </rPr>
          <t xml:space="preserve">
Distancia del punto más alto del avión al suelo.</t>
        </r>
      </text>
    </comment>
    <comment ref="B7" authorId="0" shapeId="0">
      <text>
        <r>
          <rPr>
            <b/>
            <sz val="9"/>
            <color indexed="81"/>
            <rFont val="Tahoma"/>
            <family val="2"/>
          </rPr>
          <t>Autor:</t>
        </r>
        <r>
          <rPr>
            <sz val="9"/>
            <color indexed="81"/>
            <rFont val="Tahoma"/>
            <family val="2"/>
          </rPr>
          <t xml:space="preserve">
Distancia longitudinal entre el punto más adelantado y el más retrasado del avión.</t>
        </r>
      </text>
    </comment>
    <comment ref="B8" authorId="0" shapeId="0">
      <text>
        <r>
          <rPr>
            <b/>
            <sz val="9"/>
            <color indexed="81"/>
            <rFont val="Tahoma"/>
            <family val="2"/>
          </rPr>
          <t>Autor:</t>
        </r>
        <r>
          <rPr>
            <sz val="9"/>
            <color indexed="81"/>
            <rFont val="Tahoma"/>
            <family val="2"/>
          </rPr>
          <t xml:space="preserve">
Distancia entre los extremos izquierdo y derecho del avión.</t>
        </r>
      </text>
    </comment>
    <comment ref="B11" authorId="0" shapeId="0">
      <text>
        <r>
          <rPr>
            <b/>
            <sz val="9"/>
            <color indexed="81"/>
            <rFont val="Tahoma"/>
            <family val="2"/>
          </rPr>
          <t>Autor:</t>
        </r>
        <r>
          <rPr>
            <sz val="9"/>
            <color indexed="81"/>
            <rFont val="Tahoma"/>
            <family val="2"/>
          </rPr>
          <t xml:space="preserve">
Se puede indicar con palabras, como p. ej. "bajo las alas" o "parte posterior del fuselaje", o, mejor, con un sencillo esquema del avión.</t>
        </r>
      </text>
    </comment>
    <comment ref="B12" authorId="0" shapeId="0">
      <text>
        <r>
          <rPr>
            <b/>
            <sz val="9"/>
            <color indexed="81"/>
            <rFont val="Tahoma"/>
            <family val="2"/>
          </rPr>
          <t>Autor:</t>
        </r>
        <r>
          <rPr>
            <sz val="9"/>
            <color indexed="81"/>
            <rFont val="Tahoma"/>
            <family val="2"/>
          </rPr>
          <t xml:space="preserve">
Turbofán, turbohélice, eléctrico, etc.</t>
        </r>
      </text>
    </comment>
    <comment ref="E14" authorId="0" shapeId="0">
      <text>
        <r>
          <rPr>
            <b/>
            <sz val="9"/>
            <color indexed="81"/>
            <rFont val="Tahoma"/>
            <family val="2"/>
          </rPr>
          <t>Autor:</t>
        </r>
        <r>
          <rPr>
            <sz val="9"/>
            <color indexed="81"/>
            <rFont val="Tahoma"/>
            <family val="2"/>
          </rPr>
          <t xml:space="preserve">
Two Spool Turbofan Engine consisting of a single front fan driven by a three stage fan turbine, 4 stage axial and one stage centrifugal high pressure compressor driven by a two stage high pressure turbine; annular combustion chamber; accessory gearbox and dual channel Full Authority Digital Electronic Control System (FADEC).</t>
        </r>
      </text>
    </comment>
    <comment ref="E15" authorId="0" shapeId="0">
      <text>
        <r>
          <rPr>
            <b/>
            <sz val="9"/>
            <color indexed="81"/>
            <rFont val="Tahoma"/>
            <family val="2"/>
          </rPr>
          <t>Autor:</t>
        </r>
        <r>
          <rPr>
            <sz val="9"/>
            <color indexed="81"/>
            <rFont val="Tahoma"/>
            <family val="2"/>
          </rPr>
          <t xml:space="preserve">
Dry weight including standard equipment</t>
        </r>
      </text>
    </comment>
    <comment ref="B17" authorId="0" shapeId="0">
      <text>
        <r>
          <rPr>
            <b/>
            <sz val="9"/>
            <color indexed="81"/>
            <rFont val="Tahoma"/>
            <family val="2"/>
          </rPr>
          <t>Autor:</t>
        </r>
        <r>
          <rPr>
            <sz val="9"/>
            <color indexed="81"/>
            <rFont val="Tahoma"/>
            <family val="2"/>
          </rPr>
          <t xml:space="preserve">
Thrust specific fuel consumption.
Indicando las condiciones de operación; por ej. "máximo continuo a 30000 ft de altitud y Mach 0,82" o "máximo en despegue en condiciones estáticas al nivel del mar"</t>
        </r>
      </text>
    </comment>
    <comment ref="E17" authorId="0" shapeId="0">
      <text>
        <r>
          <rPr>
            <b/>
            <sz val="9"/>
            <color indexed="81"/>
            <rFont val="Tahoma"/>
            <family val="2"/>
          </rPr>
          <t>Autor:</t>
        </r>
        <r>
          <rPr>
            <sz val="9"/>
            <color indexed="81"/>
            <rFont val="Tahoma"/>
            <charset val="1"/>
          </rPr>
          <t xml:space="preserve">
Take off --&gt; 0,394 lb/h/lbf
Cruise --&gt; 0,679 lb/h/lbf</t>
        </r>
      </text>
    </comment>
    <comment ref="F17" authorId="0" shapeId="0">
      <text>
        <r>
          <rPr>
            <b/>
            <sz val="9"/>
            <color indexed="81"/>
            <rFont val="Tahoma"/>
            <family val="2"/>
          </rPr>
          <t>Autor:</t>
        </r>
        <r>
          <rPr>
            <sz val="9"/>
            <color indexed="81"/>
            <rFont val="Tahoma"/>
            <family val="2"/>
          </rPr>
          <t xml:space="preserve">
Takeoff, Sea Level, Static (Available to 87° F) ---&gt; 0,405 [lb/(lbf·h)]
Max Cruise, 40,000 ft, Mach 0.8 (ISA) ---&gt; 0,679 [lb/(lbf·h)]</t>
        </r>
      </text>
    </comment>
    <comment ref="J17" authorId="0" shapeId="0">
      <text>
        <r>
          <rPr>
            <b/>
            <sz val="9"/>
            <color indexed="81"/>
            <rFont val="Tahoma"/>
            <family val="2"/>
          </rPr>
          <t>Autor:</t>
        </r>
        <r>
          <rPr>
            <sz val="9"/>
            <color indexed="81"/>
            <rFont val="Tahoma"/>
            <family val="2"/>
          </rPr>
          <t xml:space="preserve">
TO --&gt; 0,42
Cruise --&gt; 0,684</t>
        </r>
      </text>
    </comment>
    <comment ref="L17" authorId="0" shapeId="0">
      <text>
        <r>
          <rPr>
            <b/>
            <sz val="9"/>
            <color indexed="81"/>
            <rFont val="Tahoma"/>
            <family val="2"/>
          </rPr>
          <t>Autor:</t>
        </r>
        <r>
          <rPr>
            <sz val="9"/>
            <color indexed="81"/>
            <rFont val="Tahoma"/>
            <family val="2"/>
          </rPr>
          <t xml:space="preserve">
TO: 0,42</t>
        </r>
      </text>
    </comment>
    <comment ref="M17" authorId="0" shapeId="0">
      <text>
        <r>
          <rPr>
            <b/>
            <sz val="9"/>
            <color indexed="81"/>
            <rFont val="Tahoma"/>
            <family val="2"/>
          </rPr>
          <t>Autor:</t>
        </r>
        <r>
          <rPr>
            <sz val="9"/>
            <color indexed="81"/>
            <rFont val="Tahoma"/>
            <family val="2"/>
          </rPr>
          <t xml:space="preserve">
TO: 0,42</t>
        </r>
      </text>
    </comment>
    <comment ref="O17" authorId="0" shapeId="0">
      <text>
        <r>
          <rPr>
            <b/>
            <sz val="9"/>
            <color indexed="81"/>
            <rFont val="Tahoma"/>
            <family val="2"/>
          </rPr>
          <t>Autor:</t>
        </r>
        <r>
          <rPr>
            <sz val="9"/>
            <color indexed="81"/>
            <rFont val="Tahoma"/>
            <family val="2"/>
          </rPr>
          <t xml:space="preserve">
TO: 0,33</t>
        </r>
      </text>
    </comment>
    <comment ref="F19" authorId="0" shapeId="0">
      <text>
        <r>
          <rPr>
            <b/>
            <sz val="9"/>
            <color indexed="81"/>
            <rFont val="Tahoma"/>
            <family val="2"/>
          </rPr>
          <t>Autor:</t>
        </r>
        <r>
          <rPr>
            <b/>
            <sz val="9"/>
            <color indexed="81"/>
            <rFont val="Tahoma"/>
            <charset val="1"/>
          </rPr>
          <t xml:space="preserve">
</t>
        </r>
      </text>
    </comment>
    <comment ref="B21" authorId="0" shapeId="0">
      <text>
        <r>
          <rPr>
            <b/>
            <sz val="9"/>
            <color indexed="81"/>
            <rFont val="Tahoma"/>
            <family val="2"/>
          </rPr>
          <t>Autor:</t>
        </r>
        <r>
          <rPr>
            <sz val="9"/>
            <color indexed="81"/>
            <rFont val="Tahoma"/>
            <family val="2"/>
          </rPr>
          <t xml:space="preserve">
En el despegue con todos los motores encendidos.</t>
        </r>
      </text>
    </comment>
    <comment ref="B24" authorId="0" shapeId="0">
      <text>
        <r>
          <rPr>
            <b/>
            <sz val="9"/>
            <color indexed="81"/>
            <rFont val="Tahoma"/>
            <family val="2"/>
          </rPr>
          <t>Autor:</t>
        </r>
        <r>
          <rPr>
            <sz val="9"/>
            <color indexed="81"/>
            <rFont val="Tahoma"/>
            <charset val="1"/>
          </rPr>
          <t xml:space="preserve">
Tambien conocido como peso máximo de taxi</t>
        </r>
      </text>
    </comment>
    <comment ref="B26" authorId="0" shapeId="0">
      <text>
        <r>
          <rPr>
            <b/>
            <sz val="9"/>
            <color indexed="81"/>
            <rFont val="Tahoma"/>
            <family val="2"/>
          </rPr>
          <t>Autor:</t>
        </r>
        <r>
          <rPr>
            <sz val="9"/>
            <color indexed="81"/>
            <rFont val="Tahoma"/>
            <family val="2"/>
          </rPr>
          <t xml:space="preserve">
Mejor el peso vacío operativo OEW, pero de carecer de este dato, se puede dar otro peso vacío aclarando de cuál se trata.</t>
        </r>
      </text>
    </comment>
    <comment ref="B27" authorId="0" shapeId="0">
      <text>
        <r>
          <rPr>
            <b/>
            <sz val="9"/>
            <color indexed="81"/>
            <rFont val="Tahoma"/>
            <family val="2"/>
          </rPr>
          <t>Autor:</t>
        </r>
        <r>
          <rPr>
            <sz val="9"/>
            <color indexed="81"/>
            <rFont val="Tahoma"/>
            <family val="2"/>
          </rPr>
          <t xml:space="preserve">
BOW (Basic Operational Weight)
Basic Operating Weight is shown
for turbine-powered airplanes. BOW is
based on the average EOW weight of
the last 10 commercial deliveries, plus
200 lb. for each required crewmember.</t>
        </r>
      </text>
    </comment>
    <comment ref="O29" authorId="0" shapeId="0">
      <text>
        <r>
          <rPr>
            <b/>
            <sz val="9"/>
            <color indexed="81"/>
            <rFont val="Tahoma"/>
            <family val="2"/>
          </rPr>
          <t>Autor:</t>
        </r>
        <r>
          <rPr>
            <sz val="9"/>
            <color indexed="81"/>
            <rFont val="Tahoma"/>
            <family val="2"/>
          </rPr>
          <t xml:space="preserve">
7,306 l</t>
        </r>
      </text>
    </comment>
    <comment ref="B31" authorId="0" shapeId="0">
      <text>
        <r>
          <rPr>
            <b/>
            <sz val="9"/>
            <color indexed="81"/>
            <rFont val="Tahoma"/>
            <family val="2"/>
          </rPr>
          <t>Autor:</t>
        </r>
        <r>
          <rPr>
            <sz val="9"/>
            <color indexed="81"/>
            <rFont val="Tahoma"/>
            <family val="2"/>
          </rPr>
          <t xml:space="preserve">
Es un peso límite dado por la resistencia estructural del ala cuando no hay combustible en ella que contribuya a alliviar las cargas que soporta; un valor muy común de MZFW es la suma de MPL y OEW.</t>
        </r>
      </text>
    </comment>
    <comment ref="H39" authorId="0" shapeId="0">
      <text>
        <r>
          <rPr>
            <b/>
            <sz val="9"/>
            <color indexed="81"/>
            <rFont val="Tahoma"/>
            <family val="2"/>
          </rPr>
          <t>Autor:</t>
        </r>
        <r>
          <rPr>
            <sz val="9"/>
            <color indexed="81"/>
            <rFont val="Tahoma"/>
            <charset val="1"/>
          </rPr>
          <t xml:space="preserve">
3 or 4 including cabin attendant</t>
        </r>
      </text>
    </comment>
    <comment ref="F40" authorId="0" shapeId="0">
      <text>
        <r>
          <rPr>
            <b/>
            <sz val="9"/>
            <color indexed="81"/>
            <rFont val="Tahoma"/>
            <family val="2"/>
          </rPr>
          <t>Autor:</t>
        </r>
        <r>
          <rPr>
            <sz val="9"/>
            <color indexed="81"/>
            <rFont val="Tahoma"/>
            <family val="2"/>
          </rPr>
          <t xml:space="preserve">
tiene dormitorio trasero</t>
        </r>
      </text>
    </comment>
    <comment ref="E42" authorId="0" shapeId="0">
      <text>
        <r>
          <rPr>
            <b/>
            <sz val="9"/>
            <color indexed="81"/>
            <rFont val="Tahoma"/>
            <family val="2"/>
          </rPr>
          <t>Autor:</t>
        </r>
        <r>
          <rPr>
            <sz val="9"/>
            <color indexed="81"/>
            <rFont val="Tahoma"/>
            <family val="2"/>
          </rPr>
          <t xml:space="preserve">
Cabin length (excluding cockpit and baggage)</t>
        </r>
      </text>
    </comment>
    <comment ref="F42" authorId="0" shapeId="0">
      <text>
        <r>
          <rPr>
            <b/>
            <sz val="9"/>
            <color indexed="81"/>
            <rFont val="Tahoma"/>
            <family val="2"/>
          </rPr>
          <t>Autor:</t>
        </r>
        <r>
          <rPr>
            <sz val="9"/>
            <color indexed="81"/>
            <rFont val="Tahoma"/>
            <family val="2"/>
          </rPr>
          <t xml:space="preserve">
Cabin length (excluding cockpit and baggage)</t>
        </r>
      </text>
    </comment>
    <comment ref="G42" authorId="0" shapeId="0">
      <text>
        <r>
          <rPr>
            <b/>
            <sz val="9"/>
            <color indexed="81"/>
            <rFont val="Tahoma"/>
            <family val="2"/>
          </rPr>
          <t>Autor:</t>
        </r>
        <r>
          <rPr>
            <sz val="9"/>
            <color indexed="81"/>
            <rFont val="Tahoma"/>
            <family val="2"/>
          </rPr>
          <t xml:space="preserve">
Cabin length (excluding cockpit and baggage)</t>
        </r>
      </text>
    </comment>
    <comment ref="J42" authorId="0" shapeId="0">
      <text>
        <r>
          <rPr>
            <b/>
            <sz val="9"/>
            <color indexed="81"/>
            <rFont val="Tahoma"/>
            <family val="2"/>
          </rPr>
          <t>Autor:</t>
        </r>
        <r>
          <rPr>
            <sz val="9"/>
            <color indexed="81"/>
            <rFont val="Tahoma"/>
            <family val="2"/>
          </rPr>
          <t xml:space="preserve">
rom cockpit divider to aft most cabin without baggage compartment. </t>
        </r>
      </text>
    </comment>
    <comment ref="K42" authorId="0" shapeId="0">
      <text>
        <r>
          <rPr>
            <b/>
            <sz val="9"/>
            <color indexed="81"/>
            <rFont val="Tahoma"/>
            <family val="2"/>
          </rPr>
          <t>Autor:</t>
        </r>
        <r>
          <rPr>
            <sz val="9"/>
            <color indexed="81"/>
            <rFont val="Tahoma"/>
            <family val="2"/>
          </rPr>
          <t xml:space="preserve">
Total Interior Length: 9,83m
Cabin Length (excluding baggage): 7,87m</t>
        </r>
      </text>
    </comment>
    <comment ref="E45" authorId="0" shapeId="0">
      <text>
        <r>
          <rPr>
            <b/>
            <sz val="9"/>
            <color indexed="81"/>
            <rFont val="Tahoma"/>
            <family val="2"/>
          </rPr>
          <t>Autor:</t>
        </r>
        <r>
          <rPr>
            <sz val="9"/>
            <color indexed="81"/>
            <rFont val="Tahoma"/>
            <family val="2"/>
          </rPr>
          <t xml:space="preserve">
Cabin volume (excluding cockpit and baggage)</t>
        </r>
      </text>
    </comment>
    <comment ref="F45" authorId="0" shapeId="0">
      <text>
        <r>
          <rPr>
            <b/>
            <sz val="9"/>
            <color indexed="81"/>
            <rFont val="Tahoma"/>
            <family val="2"/>
          </rPr>
          <t>Autor:</t>
        </r>
        <r>
          <rPr>
            <sz val="9"/>
            <color indexed="81"/>
            <rFont val="Tahoma"/>
            <family val="2"/>
          </rPr>
          <t xml:space="preserve">
Cabin volume (excluding cockpit and baggage)</t>
        </r>
      </text>
    </comment>
    <comment ref="G45" authorId="0" shapeId="0">
      <text>
        <r>
          <rPr>
            <b/>
            <sz val="9"/>
            <color indexed="81"/>
            <rFont val="Tahoma"/>
            <family val="2"/>
          </rPr>
          <t>Autor:</t>
        </r>
        <r>
          <rPr>
            <sz val="9"/>
            <color indexed="81"/>
            <rFont val="Tahoma"/>
            <family val="2"/>
          </rPr>
          <t xml:space="preserve">
Cabin volume (excluding cockpit and baggage)</t>
        </r>
      </text>
    </comment>
    <comment ref="H45" authorId="0" shapeId="0">
      <text>
        <r>
          <rPr>
            <b/>
            <sz val="9"/>
            <color indexed="81"/>
            <rFont val="Tahoma"/>
            <family val="2"/>
          </rPr>
          <t>Autor:</t>
        </r>
        <r>
          <rPr>
            <sz val="9"/>
            <color indexed="81"/>
            <rFont val="Tahoma"/>
            <charset val="1"/>
          </rPr>
          <t xml:space="preserve">
including baggagge</t>
        </r>
      </text>
    </comment>
    <comment ref="L46" authorId="0" shapeId="0">
      <text>
        <r>
          <rPr>
            <b/>
            <sz val="9"/>
            <color indexed="81"/>
            <rFont val="Tahoma"/>
            <family val="2"/>
          </rPr>
          <t>Autor:</t>
        </r>
        <r>
          <rPr>
            <sz val="9"/>
            <color indexed="81"/>
            <rFont val="Tahoma"/>
            <charset val="1"/>
          </rPr>
          <t xml:space="preserve">
1,13 internal + 3,11 external</t>
        </r>
      </text>
    </comment>
    <comment ref="O46" authorId="0" shapeId="0">
      <text>
        <r>
          <rPr>
            <b/>
            <sz val="9"/>
            <color indexed="81"/>
            <rFont val="Tahoma"/>
            <family val="2"/>
          </rPr>
          <t>Autor:</t>
        </r>
        <r>
          <rPr>
            <sz val="9"/>
            <color indexed="81"/>
            <rFont val="Tahoma"/>
            <family val="2"/>
          </rPr>
          <t xml:space="preserve">
496.7 kg max</t>
        </r>
      </text>
    </comment>
    <comment ref="B47" authorId="0" shapeId="0">
      <text>
        <r>
          <rPr>
            <b/>
            <sz val="9"/>
            <color indexed="81"/>
            <rFont val="Tahoma"/>
            <family val="2"/>
          </rPr>
          <t>Autor:</t>
        </r>
        <r>
          <rPr>
            <sz val="9"/>
            <color indexed="81"/>
            <rFont val="Tahoma"/>
            <family val="2"/>
          </rPr>
          <t xml:space="preserve">
Identificando los diferentes comparimentos si son varios.</t>
        </r>
      </text>
    </comment>
    <comment ref="B49" authorId="0" shapeId="0">
      <text>
        <r>
          <rPr>
            <b/>
            <sz val="9"/>
            <color indexed="81"/>
            <rFont val="Tahoma"/>
            <family val="2"/>
          </rPr>
          <t>Autor:</t>
        </r>
        <r>
          <rPr>
            <sz val="9"/>
            <color indexed="81"/>
            <rFont val="Tahoma"/>
            <family val="2"/>
          </rPr>
          <t xml:space="preserve">
Distancia, medida según la línea de referencia del fuselaje, entre el punto más adelantado y el más atrasado del mismo; como línea de referencia se suele tomar una paralela al eje de la zona cilíndrica del fuselaje o, en ausencia de dicha zona, una línea que sea aproximadamente horizontal en vuelo de crucero.</t>
        </r>
      </text>
    </comment>
    <comment ref="B53" authorId="0" shapeId="0">
      <text>
        <r>
          <rPr>
            <b/>
            <sz val="9"/>
            <color indexed="81"/>
            <rFont val="Tahoma"/>
            <family val="2"/>
          </rPr>
          <t>Autor:</t>
        </r>
        <r>
          <rPr>
            <sz val="9"/>
            <color indexed="81"/>
            <rFont val="Tahoma"/>
            <family val="2"/>
          </rPr>
          <t xml:space="preserve">
Dimensiones máximas en dirección horizontal y vertical, respectivamente, de la proyección del fuselaje sobre un plano perpendicular a su línea de referencia.</t>
        </r>
      </text>
    </comment>
    <comment ref="B54" authorId="0" shapeId="0">
      <text>
        <r>
          <rPr>
            <b/>
            <sz val="9"/>
            <color indexed="81"/>
            <rFont val="Tahoma"/>
            <family val="2"/>
          </rPr>
          <t>Autor:</t>
        </r>
        <r>
          <rPr>
            <sz val="9"/>
            <color indexed="81"/>
            <rFont val="Tahoma"/>
            <family val="2"/>
          </rPr>
          <t xml:space="preserve">
El área de la anterior proyección.</t>
        </r>
      </text>
    </comment>
    <comment ref="B56" authorId="0" shapeId="0">
      <text>
        <r>
          <rPr>
            <b/>
            <sz val="9"/>
            <color indexed="81"/>
            <rFont val="Tahoma"/>
            <family val="2"/>
          </rPr>
          <t>Autor:</t>
        </r>
        <r>
          <rPr>
            <sz val="9"/>
            <color indexed="81"/>
            <rFont val="Tahoma"/>
            <family val="2"/>
          </rPr>
          <t xml:space="preserve">
La esbeltez del fuselaje es la comparación de la longitud de fuselaje con el un parámetro característico de las dimensiones transversales --&gt; lambdaf=(lf/af)</t>
        </r>
      </text>
    </comment>
    <comment ref="B62" authorId="0" shapeId="0">
      <text>
        <r>
          <rPr>
            <b/>
            <sz val="9"/>
            <color indexed="81"/>
            <rFont val="Tahoma"/>
            <family val="2"/>
          </rPr>
          <t>Autor:</t>
        </r>
        <r>
          <rPr>
            <sz val="9"/>
            <color indexed="81"/>
            <rFont val="Tahoma"/>
            <family val="2"/>
          </rPr>
          <t xml:space="preserve">
Alta, media, baja, etc.</t>
        </r>
      </text>
    </comment>
    <comment ref="B63" authorId="0" shapeId="0">
      <text>
        <r>
          <rPr>
            <b/>
            <sz val="9"/>
            <color indexed="81"/>
            <rFont val="Tahoma"/>
            <family val="2"/>
          </rPr>
          <t>Autor:</t>
        </r>
        <r>
          <rPr>
            <sz val="9"/>
            <color indexed="81"/>
            <rFont val="Tahoma"/>
            <family val="2"/>
          </rPr>
          <t xml:space="preserve">
Definida como el cociente entre la distancia longitudinal del punto un cuarto de la cuerda media aerodinámica al morro del avión y la longitud del fuselaje.</t>
        </r>
      </text>
    </comment>
    <comment ref="B65" authorId="0" shapeId="0">
      <text>
        <r>
          <rPr>
            <b/>
            <sz val="9"/>
            <color indexed="81"/>
            <rFont val="Tahoma"/>
            <family val="2"/>
          </rPr>
          <t>Autor:</t>
        </r>
        <r>
          <rPr>
            <sz val="9"/>
            <color indexed="81"/>
            <rFont val="Tahoma"/>
            <family val="2"/>
          </rPr>
          <t xml:space="preserve">
El área delimitada por la proyección sobre un plano horizontal del contorno del ala. La zona central del ala suele estar oculta ya sea por el fuselaje, ya sea por un carenado, por lo que para determinar completamente el contorno del ala es necesario prolongar los bordes de ataque y salida de la misma hasta el plano de simetría del avión; esta prolongación Se puede hacer de diversos modos, pero para homogeneizar las medidas correspondientes a los distintos aviones conviene utilizar un único modo, que será el siguiente: para los bordes de ataque y salida de cada semiala y una vez excluidos posibles carenados de la unión ala-fuselaje, se alargarán hasta el plano de simetría del avión la porción recta de cada borde más próxima al plano de simetría del avión.</t>
        </r>
      </text>
    </comment>
    <comment ref="B66" authorId="0" shapeId="0">
      <text>
        <r>
          <rPr>
            <b/>
            <sz val="9"/>
            <color indexed="81"/>
            <rFont val="Tahoma"/>
            <family val="2"/>
          </rPr>
          <t>Autor:</t>
        </r>
        <r>
          <rPr>
            <sz val="9"/>
            <color indexed="81"/>
            <rFont val="Tahoma"/>
            <family val="2"/>
          </rPr>
          <t xml:space="preserve">
Distancia entre los extremos izquierdo y derecho del ala, excluyendo los winglets de haberlos, pero incluyendo carenados de punta de ala.</t>
        </r>
      </text>
    </comment>
    <comment ref="B70" authorId="0" shapeId="0">
      <text>
        <r>
          <rPr>
            <b/>
            <sz val="9"/>
            <color indexed="81"/>
            <rFont val="Tahoma"/>
            <family val="2"/>
          </rPr>
          <t>Autor:</t>
        </r>
        <r>
          <rPr>
            <sz val="9"/>
            <color indexed="81"/>
            <rFont val="Tahoma"/>
            <family val="2"/>
          </rPr>
          <t xml:space="preserve">
Cociente de Sw dividido entre b.</t>
        </r>
      </text>
    </comment>
    <comment ref="B71" authorId="0" shapeId="0">
      <text>
        <r>
          <rPr>
            <b/>
            <sz val="9"/>
            <color indexed="81"/>
            <rFont val="Tahoma"/>
            <family val="2"/>
          </rPr>
          <t>Autor:</t>
        </r>
        <r>
          <rPr>
            <sz val="9"/>
            <color indexed="81"/>
            <rFont val="Tahoma"/>
            <family val="2"/>
          </rPr>
          <t xml:space="preserve">
Cociente de la integral a lo largo de la envergadura de los cuadrados de las cuerdas dividida entre Sw .</t>
        </r>
      </text>
    </comment>
    <comment ref="B73" authorId="0" shapeId="0">
      <text>
        <r>
          <rPr>
            <b/>
            <sz val="9"/>
            <color indexed="81"/>
            <rFont val="Tahoma"/>
            <family val="2"/>
          </rPr>
          <t>Autor:</t>
        </r>
        <r>
          <rPr>
            <sz val="9"/>
            <color indexed="81"/>
            <rFont val="Tahoma"/>
            <family val="2"/>
          </rPr>
          <t xml:space="preserve">
Cociente de la integral a lo largo de la envergadura del producto de la cuerda por la distancia longitudinal al origen de ejes (p.ej. el morro del avión) del punto un cuarto de la cuerda dividida entre Sw. </t>
        </r>
      </text>
    </comment>
    <comment ref="B75" authorId="0" shapeId="0">
      <text>
        <r>
          <rPr>
            <b/>
            <sz val="9"/>
            <color indexed="81"/>
            <rFont val="Tahoma"/>
            <family val="2"/>
          </rPr>
          <t>Autor:</t>
        </r>
        <r>
          <rPr>
            <sz val="9"/>
            <color indexed="81"/>
            <rFont val="Tahoma"/>
            <family val="2"/>
          </rPr>
          <t xml:space="preserve">
Distancia longitudinal del borde de ataque en la raiz, al borde de ataque en la punta [m]</t>
        </r>
      </text>
    </comment>
    <comment ref="B76" authorId="0" shapeId="0">
      <text>
        <r>
          <rPr>
            <b/>
            <sz val="9"/>
            <color indexed="81"/>
            <rFont val="Tahoma"/>
            <family val="2"/>
          </rPr>
          <t>Autor:</t>
        </r>
        <r>
          <rPr>
            <sz val="9"/>
            <color indexed="81"/>
            <rFont val="Tahoma"/>
            <family val="2"/>
          </rPr>
          <t xml:space="preserve">
Cociente de b dividido entre CMG. (b^2/Sw)</t>
        </r>
      </text>
    </comment>
    <comment ref="B77" authorId="0" shapeId="0">
      <text>
        <r>
          <rPr>
            <b/>
            <sz val="9"/>
            <color indexed="81"/>
            <rFont val="Tahoma"/>
            <family val="2"/>
          </rPr>
          <t>Autor:</t>
        </r>
        <r>
          <rPr>
            <sz val="9"/>
            <color indexed="81"/>
            <rFont val="Tahoma"/>
            <family val="2"/>
          </rPr>
          <t xml:space="preserve">
Cociente de ct dividido entre cr </t>
        </r>
      </text>
    </comment>
    <comment ref="B78" authorId="0" shapeId="0">
      <text>
        <r>
          <rPr>
            <b/>
            <sz val="9"/>
            <color indexed="81"/>
            <rFont val="Tahoma"/>
            <family val="2"/>
          </rPr>
          <t>Autor:</t>
        </r>
        <r>
          <rPr>
            <sz val="9"/>
            <color indexed="81"/>
            <rFont val="Tahoma"/>
            <family val="2"/>
          </rPr>
          <t xml:space="preserve">
Ángulo que forma la proyección sobre un plano horizontal de la línea de puntos un cuarto del ala con un plano perpendicular al eje longitudinal del avión; si la línea de puntos un cuarto es quebrada se deben dar los distintos ángulos, identificándolos como interior, exterior, medio, etc.</t>
        </r>
      </text>
    </comment>
    <comment ref="B79" authorId="0" shapeId="0">
      <text>
        <r>
          <rPr>
            <b/>
            <sz val="9"/>
            <color indexed="81"/>
            <rFont val="Tahoma"/>
            <family val="2"/>
          </rPr>
          <t>Autor:</t>
        </r>
        <r>
          <rPr>
            <sz val="9"/>
            <color indexed="81"/>
            <rFont val="Tahoma"/>
            <family val="2"/>
          </rPr>
          <t xml:space="preserve">
Ángulo que forma la proyección de la línea de puntos un cuarto sobre un plano perpendicular al eje longitudinal del del avión con un plano horizontal.</t>
        </r>
      </text>
    </comment>
    <comment ref="A82" authorId="0" shapeId="0">
      <text>
        <r>
          <rPr>
            <b/>
            <sz val="9"/>
            <color indexed="81"/>
            <rFont val="Tahoma"/>
            <family val="2"/>
          </rPr>
          <t>Autor:</t>
        </r>
        <r>
          <rPr>
            <sz val="9"/>
            <color indexed="81"/>
            <rFont val="Tahoma"/>
            <family val="2"/>
          </rPr>
          <t xml:space="preserve">
Para el tren auxiliar se debe sustituir el subíndice p de principal por el subíndice a de auxiliar.</t>
        </r>
      </text>
    </comment>
    <comment ref="B82" authorId="0" shapeId="0">
      <text>
        <r>
          <rPr>
            <b/>
            <sz val="9"/>
            <color indexed="81"/>
            <rFont val="Tahoma"/>
            <family val="2"/>
          </rPr>
          <t>Autor:</t>
        </r>
        <r>
          <rPr>
            <sz val="9"/>
            <color indexed="81"/>
            <rFont val="Tahoma"/>
            <family val="2"/>
          </rPr>
          <t xml:space="preserve">
Triciclo, retráctil, con rueda de cola, etc.</t>
        </r>
      </text>
    </comment>
    <comment ref="B83" authorId="0" shapeId="0">
      <text>
        <r>
          <rPr>
            <b/>
            <sz val="9"/>
            <color indexed="81"/>
            <rFont val="Tahoma"/>
            <family val="2"/>
          </rPr>
          <t>Autor:</t>
        </r>
        <r>
          <rPr>
            <sz val="9"/>
            <color indexed="81"/>
            <rFont val="Tahoma"/>
            <family val="2"/>
          </rPr>
          <t xml:space="preserve">
Distancia entre el centro de las huellas de los trenes principales; si estos son más de dos, se tomarán los más alejados del plano de simetría del avión.</t>
        </r>
      </text>
    </comment>
    <comment ref="B84" authorId="0" shapeId="0">
      <text>
        <r>
          <rPr>
            <b/>
            <sz val="9"/>
            <color indexed="81"/>
            <rFont val="Tahoma"/>
            <family val="2"/>
          </rPr>
          <t>Autor:</t>
        </r>
        <r>
          <rPr>
            <sz val="9"/>
            <color indexed="81"/>
            <rFont val="Tahoma"/>
            <family val="2"/>
          </rPr>
          <t xml:space="preserve">
Distancia longitudinal entre el centro de la huella del tren auxiliar y los centros de las huellas de los trenes principales (si son más de dos se toman los más alejados longitudinalmente del tren auxiliar).</t>
        </r>
      </text>
    </comment>
    <comment ref="F89" authorId="0" shapeId="0">
      <text>
        <r>
          <rPr>
            <b/>
            <sz val="9"/>
            <color indexed="81"/>
            <rFont val="Tahoma"/>
            <family val="2"/>
          </rPr>
          <t>Autor:</t>
        </r>
        <r>
          <rPr>
            <sz val="9"/>
            <color indexed="81"/>
            <rFont val="Tahoma"/>
            <family val="2"/>
          </rPr>
          <t xml:space="preserve">
29 in</t>
        </r>
      </text>
    </comment>
    <comment ref="F90" authorId="0" shapeId="0">
      <text>
        <r>
          <rPr>
            <b/>
            <sz val="9"/>
            <color indexed="81"/>
            <rFont val="Tahoma"/>
            <family val="2"/>
          </rPr>
          <t>Autor:</t>
        </r>
        <r>
          <rPr>
            <sz val="9"/>
            <color indexed="81"/>
            <rFont val="Tahoma"/>
            <family val="2"/>
          </rPr>
          <t xml:space="preserve">
7,7 in</t>
        </r>
      </text>
    </comment>
    <comment ref="F91" authorId="0" shapeId="0">
      <text>
        <r>
          <rPr>
            <b/>
            <sz val="9"/>
            <color indexed="81"/>
            <rFont val="Tahoma"/>
            <family val="2"/>
          </rPr>
          <t>Autor:</t>
        </r>
        <r>
          <rPr>
            <sz val="9"/>
            <color indexed="81"/>
            <rFont val="Tahoma"/>
            <family val="2"/>
          </rPr>
          <t xml:space="preserve">
17,5 in</t>
        </r>
      </text>
    </comment>
    <comment ref="F92" authorId="0" shapeId="0">
      <text>
        <r>
          <rPr>
            <b/>
            <sz val="9"/>
            <color indexed="81"/>
            <rFont val="Tahoma"/>
            <family val="2"/>
          </rPr>
          <t>Autor:</t>
        </r>
        <r>
          <rPr>
            <sz val="9"/>
            <color indexed="81"/>
            <rFont val="Tahoma"/>
            <family val="2"/>
          </rPr>
          <t xml:space="preserve">
5,7 in</t>
        </r>
      </text>
    </comment>
    <comment ref="B95" authorId="0" shapeId="0">
      <text>
        <r>
          <rPr>
            <b/>
            <sz val="9"/>
            <color indexed="81"/>
            <rFont val="Tahoma"/>
            <family val="2"/>
          </rPr>
          <t>Autor:</t>
        </r>
        <r>
          <rPr>
            <sz val="9"/>
            <color indexed="81"/>
            <rFont val="Tahoma"/>
            <family val="2"/>
          </rPr>
          <t xml:space="preserve">
Maximum Operating Mach</t>
        </r>
      </text>
    </comment>
    <comment ref="B96" authorId="0" shapeId="0">
      <text>
        <r>
          <rPr>
            <b/>
            <sz val="9"/>
            <color indexed="81"/>
            <rFont val="Tahoma"/>
            <family val="2"/>
          </rPr>
          <t>Autor:</t>
        </r>
        <r>
          <rPr>
            <sz val="9"/>
            <color indexed="81"/>
            <rFont val="Tahoma"/>
            <family val="2"/>
          </rPr>
          <t xml:space="preserve">
Indicando condiciones como régimen de crucero, altitud, etc.</t>
        </r>
      </text>
    </comment>
    <comment ref="K96" authorId="0" shapeId="0">
      <text>
        <r>
          <rPr>
            <b/>
            <sz val="9"/>
            <color indexed="81"/>
            <rFont val="Tahoma"/>
            <family val="2"/>
          </rPr>
          <t>Autor:</t>
        </r>
        <r>
          <rPr>
            <sz val="9"/>
            <color indexed="81"/>
            <rFont val="Tahoma"/>
            <family val="2"/>
          </rPr>
          <t xml:space="preserve">
High speed: 893kph
Long range: 850kph</t>
        </r>
      </text>
    </comment>
    <comment ref="K97" authorId="0" shapeId="0">
      <text>
        <r>
          <rPr>
            <b/>
            <sz val="9"/>
            <color indexed="81"/>
            <rFont val="Tahoma"/>
            <family val="2"/>
          </rPr>
          <t>Autor:</t>
        </r>
        <r>
          <rPr>
            <sz val="9"/>
            <color indexed="81"/>
            <rFont val="Tahoma"/>
            <family val="2"/>
          </rPr>
          <t xml:space="preserve">
High speed: 0,84
Long range: 0,80</t>
        </r>
      </text>
    </comment>
    <comment ref="B99" authorId="0" shapeId="0">
      <text>
        <r>
          <rPr>
            <b/>
            <sz val="9"/>
            <color indexed="81"/>
            <rFont val="Tahoma"/>
            <family val="2"/>
          </rPr>
          <t>Autor:</t>
        </r>
        <r>
          <rPr>
            <sz val="9"/>
            <color indexed="81"/>
            <rFont val="Tahoma"/>
            <family val="2"/>
          </rPr>
          <t xml:space="preserve">
En configuraciones limpia, de despegue o aterrizaje, indicando peso y altitud, si son conocidos.</t>
        </r>
      </text>
    </comment>
    <comment ref="F99" authorId="0" shapeId="0">
      <text>
        <r>
          <rPr>
            <b/>
            <sz val="9"/>
            <color indexed="81"/>
            <rFont val="Tahoma"/>
            <family val="2"/>
          </rPr>
          <t>Autor:</t>
        </r>
        <r>
          <rPr>
            <sz val="9"/>
            <color indexed="81"/>
            <rFont val="Tahoma"/>
            <family val="2"/>
          </rPr>
          <t xml:space="preserve">
Clean --&gt; 197kph
Landing conf --&gt; 158kph</t>
        </r>
      </text>
    </comment>
    <comment ref="B100" authorId="0" shapeId="0">
      <text>
        <r>
          <rPr>
            <b/>
            <sz val="9"/>
            <color indexed="81"/>
            <rFont val="Tahoma"/>
            <family val="2"/>
          </rPr>
          <t>Autor:</t>
        </r>
        <r>
          <rPr>
            <sz val="9"/>
            <color indexed="81"/>
            <rFont val="Tahoma"/>
            <family val="2"/>
          </rPr>
          <t xml:space="preserve">
Velocidad de seguridad en el despegue.</t>
        </r>
      </text>
    </comment>
    <comment ref="B101" authorId="0" shapeId="0">
      <text>
        <r>
          <rPr>
            <b/>
            <sz val="9"/>
            <color indexed="81"/>
            <rFont val="Tahoma"/>
            <family val="2"/>
          </rPr>
          <t>Autor:</t>
        </r>
        <r>
          <rPr>
            <sz val="9"/>
            <color indexed="81"/>
            <rFont val="Tahoma"/>
            <family val="2"/>
          </rPr>
          <t xml:space="preserve">
Velocidad de aproximación final.</t>
        </r>
      </text>
    </comment>
    <comment ref="F103" authorId="0" shapeId="0">
      <text>
        <r>
          <rPr>
            <b/>
            <sz val="9"/>
            <color indexed="81"/>
            <rFont val="Tahoma"/>
            <family val="2"/>
          </rPr>
          <t>Autor:</t>
        </r>
        <r>
          <rPr>
            <sz val="9"/>
            <color indexed="81"/>
            <rFont val="Tahoma"/>
            <charset val="1"/>
          </rPr>
          <t xml:space="preserve">
8334km Mach 0,80
8797km Mach 0,75</t>
        </r>
      </text>
    </comment>
    <comment ref="H103" authorId="0" shapeId="0">
      <text>
        <r>
          <rPr>
            <b/>
            <sz val="9"/>
            <color indexed="81"/>
            <rFont val="Tahoma"/>
            <family val="2"/>
          </rPr>
          <t>Autor:</t>
        </r>
        <r>
          <rPr>
            <sz val="9"/>
            <color indexed="81"/>
            <rFont val="Tahoma"/>
            <family val="2"/>
          </rPr>
          <t xml:space="preserve">
Theoretical range with NBAA IFR Reserves,ISA, M 0.85, 8 pax/4 crew.</t>
        </r>
      </text>
    </comment>
    <comment ref="I103" authorId="0" shapeId="0">
      <text>
        <r>
          <rPr>
            <b/>
            <sz val="9"/>
            <color indexed="81"/>
            <rFont val="Tahoma"/>
            <family val="2"/>
          </rPr>
          <t>Autor:</t>
        </r>
        <r>
          <rPr>
            <sz val="9"/>
            <color indexed="81"/>
            <rFont val="Tahoma"/>
            <charset val="1"/>
          </rPr>
          <t xml:space="preserve">
(Theoretical range with NBAA IFR Reserves, ISA, M 0.85, 8 pax /3 crew. Actual range will be affected by speed, weather, selected options and other factors.)</t>
        </r>
      </text>
    </comment>
    <comment ref="J103" authorId="0" shapeId="0">
      <text>
        <r>
          <rPr>
            <b/>
            <sz val="9"/>
            <color indexed="81"/>
            <rFont val="Tahoma"/>
            <family val="2"/>
          </rPr>
          <t>Autor:</t>
        </r>
        <r>
          <rPr>
            <sz val="9"/>
            <color indexed="81"/>
            <rFont val="Tahoma"/>
            <family val="2"/>
          </rPr>
          <t xml:space="preserve">
Mach 0,75   
8pax, 370km alternate</t>
        </r>
      </text>
    </comment>
    <comment ref="K103" authorId="0" shapeId="0">
      <text>
        <r>
          <rPr>
            <b/>
            <sz val="9"/>
            <color indexed="81"/>
            <rFont val="Tahoma"/>
            <family val="2"/>
          </rPr>
          <t>Autor:</t>
        </r>
        <r>
          <rPr>
            <sz val="9"/>
            <color indexed="81"/>
            <rFont val="Tahoma"/>
            <family val="2"/>
          </rPr>
          <t xml:space="preserve">
Mach 0,80   4pax   2crew</t>
        </r>
      </text>
    </comment>
    <comment ref="L103" authorId="0" shapeId="0">
      <text>
        <r>
          <rPr>
            <b/>
            <sz val="9"/>
            <color indexed="81"/>
            <rFont val="Tahoma"/>
            <family val="2"/>
          </rPr>
          <t>Autor:</t>
        </r>
        <r>
          <rPr>
            <sz val="9"/>
            <color indexed="81"/>
            <rFont val="Tahoma"/>
            <charset val="1"/>
          </rPr>
          <t xml:space="preserve">
LRC, 4 pax @ 200 lb each and NBAA IFR
reserves with 200 nm alternate airport</t>
        </r>
      </text>
    </comment>
    <comment ref="M103" authorId="0" shapeId="0">
      <text>
        <r>
          <rPr>
            <b/>
            <sz val="9"/>
            <color indexed="81"/>
            <rFont val="Tahoma"/>
            <family val="2"/>
          </rPr>
          <t>Autor:</t>
        </r>
        <r>
          <rPr>
            <sz val="9"/>
            <color indexed="81"/>
            <rFont val="Tahoma"/>
            <family val="2"/>
          </rPr>
          <t xml:space="preserve">
Range: LRC, 4 passengers at 200 lb/each, NBAA IFR reserves, 200 nm alternate airport, baseline aircraft</t>
        </r>
      </text>
    </comment>
    <comment ref="N103" authorId="0" shapeId="0">
      <text>
        <r>
          <rPr>
            <b/>
            <sz val="9"/>
            <color indexed="81"/>
            <rFont val="Tahoma"/>
            <family val="2"/>
          </rPr>
          <t>Autor:</t>
        </r>
        <r>
          <rPr>
            <sz val="9"/>
            <color indexed="81"/>
            <rFont val="Tahoma"/>
            <family val="2"/>
          </rPr>
          <t xml:space="preserve">
Range: LRC, 6 occupants at 200 lb/each, NBAA IFR reserves, 100 nm alternate airport, baseline aircraft.</t>
        </r>
      </text>
    </comment>
    <comment ref="B106" authorId="0" shapeId="0">
      <text>
        <r>
          <rPr>
            <b/>
            <sz val="9"/>
            <color indexed="81"/>
            <rFont val="Tahoma"/>
            <family val="2"/>
          </rPr>
          <t>Autor:</t>
        </r>
        <r>
          <rPr>
            <sz val="9"/>
            <color indexed="81"/>
            <rFont val="Tahoma"/>
            <family val="2"/>
          </rPr>
          <t xml:space="preserve">
Especificando condiciones como peso, altitud, etc.</t>
        </r>
      </text>
    </comment>
    <comment ref="E106" authorId="0" shapeId="0">
      <text>
        <r>
          <rPr>
            <b/>
            <sz val="9"/>
            <color indexed="81"/>
            <rFont val="Tahoma"/>
            <family val="2"/>
          </rPr>
          <t>Autor:</t>
        </r>
        <r>
          <rPr>
            <sz val="9"/>
            <color indexed="81"/>
            <rFont val="Tahoma"/>
            <family val="2"/>
          </rPr>
          <t xml:space="preserve">
BFL at MTOW: SL - ISA</t>
        </r>
      </text>
    </comment>
    <comment ref="B107" authorId="0" shapeId="0">
      <text>
        <r>
          <rPr>
            <b/>
            <sz val="9"/>
            <color indexed="81"/>
            <rFont val="Tahoma"/>
            <family val="2"/>
          </rPr>
          <t>Autor:</t>
        </r>
        <r>
          <rPr>
            <sz val="9"/>
            <color indexed="81"/>
            <rFont val="Tahoma"/>
            <family val="2"/>
          </rPr>
          <t xml:space="preserve">
Especificando condiciones como peso, altitud, etc.</t>
        </r>
      </text>
    </comment>
    <comment ref="E107" authorId="0" shapeId="0">
      <text>
        <r>
          <rPr>
            <b/>
            <sz val="9"/>
            <color indexed="81"/>
            <rFont val="Tahoma"/>
            <family val="2"/>
          </rPr>
          <t>Autor:</t>
        </r>
        <r>
          <rPr>
            <sz val="9"/>
            <color indexed="81"/>
            <rFont val="Tahoma"/>
            <family val="2"/>
          </rPr>
          <t xml:space="preserve">
FAR 91 landing distance at typical landing weight </t>
        </r>
      </text>
    </comment>
  </commentList>
</comments>
</file>

<file path=xl/sharedStrings.xml><?xml version="1.0" encoding="utf-8"?>
<sst xmlns="http://schemas.openxmlformats.org/spreadsheetml/2006/main" count="475" uniqueCount="260">
  <si>
    <t>Nombre</t>
  </si>
  <si>
    <t>Fabricante</t>
  </si>
  <si>
    <t>Fecha Primer Vuelo</t>
  </si>
  <si>
    <t>Altura máxima</t>
  </si>
  <si>
    <t>Longitud máxima</t>
  </si>
  <si>
    <t>Envergadura máxima</t>
  </si>
  <si>
    <t>Nº de Motores</t>
  </si>
  <si>
    <t xml:space="preserve">Posición </t>
  </si>
  <si>
    <t>Tipo de Motor</t>
  </si>
  <si>
    <t>Modelo</t>
  </si>
  <si>
    <t>Peso de un motor</t>
  </si>
  <si>
    <t>Posición Vertical</t>
  </si>
  <si>
    <t>Posición Longitudinal</t>
  </si>
  <si>
    <t>Cuerda Media Geométrica</t>
  </si>
  <si>
    <t>Cuerda Media Aerodinámica</t>
  </si>
  <si>
    <t>Parámetro de Estrechamiento</t>
  </si>
  <si>
    <t>Flecha línea puntos 1/4</t>
  </si>
  <si>
    <t>Diedro</t>
  </si>
  <si>
    <t>Tipo</t>
  </si>
  <si>
    <t>Distancia Despegue</t>
  </si>
  <si>
    <t>Distancia Aterrizaje</t>
  </si>
  <si>
    <t>ACTUACIONES</t>
  </si>
  <si>
    <t>DATOS GENERALES DEL AVIÓN</t>
  </si>
  <si>
    <t>GRUPO MOTOPROPULSOR</t>
  </si>
  <si>
    <t>PESOS</t>
  </si>
  <si>
    <t>FUSELAJE</t>
  </si>
  <si>
    <t>ALA</t>
  </si>
  <si>
    <t>TREN DE ATERRIZAJE</t>
  </si>
  <si>
    <t>[-]</t>
  </si>
  <si>
    <t>Dassault Aviation</t>
  </si>
  <si>
    <t>Longitud fuselaje</t>
  </si>
  <si>
    <t>Anchura fuselaje</t>
  </si>
  <si>
    <t>Altura fuselaje</t>
  </si>
  <si>
    <t>Área frontal máxima</t>
  </si>
  <si>
    <t>Distancia Mínima del fuselaje al Suelo</t>
  </si>
  <si>
    <t>[MTOW]</t>
  </si>
  <si>
    <t>Peso Máximo al Despegue</t>
  </si>
  <si>
    <t>Peso Operativo en Vacío</t>
  </si>
  <si>
    <t>[OEW]</t>
  </si>
  <si>
    <t>[MPL]</t>
  </si>
  <si>
    <t>[OEW/MTOW]</t>
  </si>
  <si>
    <t>[MFW]</t>
  </si>
  <si>
    <t>Peso Máximo del Combustible</t>
  </si>
  <si>
    <t>Carga de Pago Máxima</t>
  </si>
  <si>
    <t>Relación OEW/MTOW</t>
  </si>
  <si>
    <t>[b]</t>
  </si>
  <si>
    <t>Cuerda en la punta</t>
  </si>
  <si>
    <t>Cuerda en la raíz</t>
  </si>
  <si>
    <t>[CMG]</t>
  </si>
  <si>
    <t>[CMA]</t>
  </si>
  <si>
    <t>Alargamiento</t>
  </si>
  <si>
    <t>Posicion Longitudinal del punto un cuarto de CMA</t>
  </si>
  <si>
    <t>Carga alar en despegue</t>
  </si>
  <si>
    <t>Envergadura alar</t>
  </si>
  <si>
    <t>Superficie alar</t>
  </si>
  <si>
    <t>Batalla</t>
  </si>
  <si>
    <t>Vía</t>
  </si>
  <si>
    <t>[T]</t>
  </si>
  <si>
    <t>[B]</t>
  </si>
  <si>
    <t>[T/B]</t>
  </si>
  <si>
    <t>[T/b]</t>
  </si>
  <si>
    <t>Relación T/b</t>
  </si>
  <si>
    <t>Relación T/B</t>
  </si>
  <si>
    <t>Nº Neumáticos por pata</t>
  </si>
  <si>
    <t>Velocida Máxima</t>
  </si>
  <si>
    <t>Velocidad Crucero de Diseño</t>
  </si>
  <si>
    <t>Vel Ascensional</t>
  </si>
  <si>
    <t>[R]</t>
  </si>
  <si>
    <t>Alcance</t>
  </si>
  <si>
    <t>CARGA DE PAGO (CABINA Y PASAJEROS)</t>
  </si>
  <si>
    <t>Nº mínimo de pasajeros</t>
  </si>
  <si>
    <t>Nº máximo de pasajeros</t>
  </si>
  <si>
    <t>Longitud de cabina</t>
  </si>
  <si>
    <t>Ancho de cabina</t>
  </si>
  <si>
    <t>Alto de cabina</t>
  </si>
  <si>
    <t>Esbeltez del fuselaje</t>
  </si>
  <si>
    <t>[MPL/MTOW]</t>
  </si>
  <si>
    <t>Relación MPL/MTOW</t>
  </si>
  <si>
    <t>Relación MFW/MTOW</t>
  </si>
  <si>
    <t>[MFW/MTOW]</t>
  </si>
  <si>
    <t>Bombardier</t>
  </si>
  <si>
    <t>Parte posterior fuselaje</t>
  </si>
  <si>
    <t>P&amp;W Canada</t>
  </si>
  <si>
    <t>PW307A</t>
  </si>
  <si>
    <t>Turbofan</t>
  </si>
  <si>
    <t>CATEGORÍA</t>
  </si>
  <si>
    <t>Acrónimo</t>
  </si>
  <si>
    <t>Unidades</t>
  </si>
  <si>
    <t>Dato</t>
  </si>
  <si>
    <t>[m]</t>
  </si>
  <si>
    <t>[kg]</t>
  </si>
  <si>
    <t>Diámetro máximo motor</t>
  </si>
  <si>
    <t>Longitud máxima motor</t>
  </si>
  <si>
    <t>[kN]</t>
  </si>
  <si>
    <t>Peso Máximo al Aterrizaje</t>
  </si>
  <si>
    <t>[MLW]</t>
  </si>
  <si>
    <t>Peso Máximo sin Combustible</t>
  </si>
  <si>
    <t>Empuje del motor</t>
  </si>
  <si>
    <t>[km]</t>
  </si>
  <si>
    <t>[m/s]</t>
  </si>
  <si>
    <t>Imagen</t>
  </si>
  <si>
    <t>Consumo específico</t>
  </si>
  <si>
    <t>Empuje total al despegue</t>
  </si>
  <si>
    <t>[MZFW]</t>
  </si>
  <si>
    <t>Volumen de cabina</t>
  </si>
  <si>
    <t>Posición de los compartimentos de equipajes y carga</t>
  </si>
  <si>
    <t>Gulfstream</t>
  </si>
  <si>
    <t>Gulfstream G280</t>
  </si>
  <si>
    <t>Global 5000</t>
  </si>
  <si>
    <t>Global 6000</t>
  </si>
  <si>
    <t>Falcon 7X</t>
  </si>
  <si>
    <t>Embraer</t>
  </si>
  <si>
    <t>Legacy 450</t>
  </si>
  <si>
    <t>Cessna</t>
  </si>
  <si>
    <t>Phenom 300</t>
  </si>
  <si>
    <t>Falcon 900LX</t>
  </si>
  <si>
    <t>Falcon 2000LXS</t>
  </si>
  <si>
    <t>Honeywell</t>
  </si>
  <si>
    <t>TFE731-60</t>
  </si>
  <si>
    <t>PW308C</t>
  </si>
  <si>
    <t>[TSFC]</t>
  </si>
  <si>
    <t>Cockpit - Gallery - Cabin - Vanity - Baggage</t>
  </si>
  <si>
    <t>Velocidad de aproximación</t>
  </si>
  <si>
    <t>Altura máxima operativa</t>
  </si>
  <si>
    <t>Mach máximo operativo</t>
  </si>
  <si>
    <t>[MMO]</t>
  </si>
  <si>
    <t>Velocidad de despegue</t>
  </si>
  <si>
    <t>[lb/(lbf·h)]</t>
  </si>
  <si>
    <t>Altura típica de crucero</t>
  </si>
  <si>
    <t>Volumen de equipaje</t>
  </si>
  <si>
    <t>Tripulación</t>
  </si>
  <si>
    <t>[crew]</t>
  </si>
  <si>
    <t>Peso Máximo en Rampa</t>
  </si>
  <si>
    <t>[MRW]</t>
  </si>
  <si>
    <t>Carga Útil Total</t>
  </si>
  <si>
    <t>[TUL]</t>
  </si>
  <si>
    <t>Rolls-Royce</t>
  </si>
  <si>
    <t>BR710A2-20</t>
  </si>
  <si>
    <t>Triciclo retractil</t>
  </si>
  <si>
    <t>Díametro de Neumáticos Principales</t>
  </si>
  <si>
    <t>Ancho Neumáticos Principales</t>
  </si>
  <si>
    <t>Díametro de Neumáticos Morro</t>
  </si>
  <si>
    <t>Ancho Neumáticos Morro</t>
  </si>
  <si>
    <t>baja</t>
  </si>
  <si>
    <t>Posición borde ataque raiz</t>
  </si>
  <si>
    <t>[BOW]</t>
  </si>
  <si>
    <t>[EW]</t>
  </si>
  <si>
    <t>Basic Operational Weight</t>
  </si>
  <si>
    <t>Peso Vacío, equipado</t>
  </si>
  <si>
    <t>Max Thrust loading</t>
  </si>
  <si>
    <t>[MTOW/Tto]</t>
  </si>
  <si>
    <t>Mach de Crucero</t>
  </si>
  <si>
    <t>Challenger 350</t>
  </si>
  <si>
    <t>HTF7350</t>
  </si>
  <si>
    <r>
      <t>[m/s</t>
    </r>
    <r>
      <rPr>
        <vertAlign val="superscript"/>
        <sz val="11"/>
        <color theme="1"/>
        <rFont val="Calibri"/>
        <family val="2"/>
        <scheme val="minor"/>
      </rPr>
      <t>2</t>
    </r>
    <r>
      <rPr>
        <sz val="11"/>
        <color theme="1"/>
        <rFont val="Calibri"/>
        <family val="2"/>
        <scheme val="minor"/>
      </rPr>
      <t>]</t>
    </r>
  </si>
  <si>
    <t>GravityIMP</t>
  </si>
  <si>
    <t>GravitySI</t>
  </si>
  <si>
    <r>
      <t>[ft/s</t>
    </r>
    <r>
      <rPr>
        <vertAlign val="superscript"/>
        <sz val="11"/>
        <color theme="1"/>
        <rFont val="Calibri"/>
        <family val="2"/>
        <scheme val="minor"/>
      </rPr>
      <t>2</t>
    </r>
    <r>
      <rPr>
        <sz val="11"/>
        <color theme="1"/>
        <rFont val="Calibri"/>
        <family val="2"/>
        <scheme val="minor"/>
      </rPr>
      <t>]</t>
    </r>
  </si>
  <si>
    <t>[lb]</t>
  </si>
  <si>
    <t>PW535E</t>
  </si>
  <si>
    <t>HTF7500E</t>
  </si>
  <si>
    <t>CrewWeightLb</t>
  </si>
  <si>
    <t>PassengerWeightLb</t>
  </si>
  <si>
    <t>PassBaggWeightLb</t>
  </si>
  <si>
    <t>CrewBaggWeightLB</t>
  </si>
  <si>
    <t>CrewBaggWeightSI</t>
  </si>
  <si>
    <t>CrewWeightSI</t>
  </si>
  <si>
    <t>PassengerWeightSI</t>
  </si>
  <si>
    <t>PassBaggWeightSI</t>
  </si>
  <si>
    <t>Legacy 500</t>
  </si>
  <si>
    <t>Citation X+</t>
  </si>
  <si>
    <t>AE3007C2</t>
  </si>
  <si>
    <t>[S]</t>
  </si>
  <si>
    <t>Semienvergadura alar real</t>
  </si>
  <si>
    <t>Posición Longitudinal del borde de ataque de la CMA</t>
  </si>
  <si>
    <t>Distancia horizontal de la cuerda en la raíz a la CMA</t>
  </si>
  <si>
    <t>Distancia de flecha en la punta del ala</t>
  </si>
  <si>
    <t>Velocidad de entrada en pérdida en aterrizaje</t>
  </si>
  <si>
    <t>Velocidad de entrada en pérdida en despegue</t>
  </si>
  <si>
    <t>Consumo específico en despegue</t>
  </si>
  <si>
    <t>HTF7250G</t>
  </si>
  <si>
    <t>-</t>
  </si>
  <si>
    <r>
      <t>[h</t>
    </r>
    <r>
      <rPr>
        <vertAlign val="subscript"/>
        <sz val="10.3"/>
        <color theme="1"/>
        <rFont val="Calibri"/>
        <family val="2"/>
        <scheme val="minor"/>
      </rPr>
      <t>max</t>
    </r>
    <r>
      <rPr>
        <sz val="10.3"/>
        <color theme="1"/>
        <rFont val="Calibri"/>
        <family val="2"/>
        <scheme val="minor"/>
      </rPr>
      <t>]</t>
    </r>
  </si>
  <si>
    <r>
      <t>[l</t>
    </r>
    <r>
      <rPr>
        <vertAlign val="subscript"/>
        <sz val="10.3"/>
        <color theme="1"/>
        <rFont val="Calibri"/>
        <family val="2"/>
        <scheme val="minor"/>
      </rPr>
      <t>max</t>
    </r>
    <r>
      <rPr>
        <sz val="10.3"/>
        <color theme="1"/>
        <rFont val="Calibri"/>
        <family val="2"/>
        <scheme val="minor"/>
      </rPr>
      <t>]</t>
    </r>
  </si>
  <si>
    <r>
      <t>[b</t>
    </r>
    <r>
      <rPr>
        <vertAlign val="subscript"/>
        <sz val="10.3"/>
        <color theme="1"/>
        <rFont val="Calibri"/>
        <family val="2"/>
        <scheme val="minor"/>
      </rPr>
      <t>max</t>
    </r>
    <r>
      <rPr>
        <sz val="10.3"/>
        <color theme="1"/>
        <rFont val="Calibri"/>
        <family val="2"/>
        <scheme val="minor"/>
      </rPr>
      <t>]</t>
    </r>
  </si>
  <si>
    <r>
      <t>[N</t>
    </r>
    <r>
      <rPr>
        <vertAlign val="subscript"/>
        <sz val="10.3"/>
        <color theme="1"/>
        <rFont val="Calibri"/>
        <family val="2"/>
        <scheme val="minor"/>
      </rPr>
      <t>eng</t>
    </r>
    <r>
      <rPr>
        <sz val="10.3"/>
        <color theme="1"/>
        <rFont val="Calibri"/>
        <family val="2"/>
        <scheme val="minor"/>
      </rPr>
      <t>]</t>
    </r>
  </si>
  <si>
    <r>
      <t>[W</t>
    </r>
    <r>
      <rPr>
        <vertAlign val="subscript"/>
        <sz val="10.3"/>
        <color theme="1"/>
        <rFont val="Calibri"/>
        <family val="2"/>
        <scheme val="minor"/>
      </rPr>
      <t>eng</t>
    </r>
    <r>
      <rPr>
        <sz val="10.3"/>
        <color theme="1"/>
        <rFont val="Calibri"/>
        <family val="2"/>
        <scheme val="minor"/>
      </rPr>
      <t>]</t>
    </r>
  </si>
  <si>
    <r>
      <t>[T</t>
    </r>
    <r>
      <rPr>
        <vertAlign val="subscript"/>
        <sz val="10.3"/>
        <color theme="1"/>
        <rFont val="Calibri"/>
        <family val="2"/>
        <scheme val="minor"/>
      </rPr>
      <t>eng</t>
    </r>
    <r>
      <rPr>
        <sz val="10.3"/>
        <color theme="1"/>
        <rFont val="Calibri"/>
        <family val="2"/>
        <scheme val="minor"/>
      </rPr>
      <t>]</t>
    </r>
  </si>
  <si>
    <r>
      <t>[TSFC</t>
    </r>
    <r>
      <rPr>
        <vertAlign val="subscript"/>
        <sz val="10.3"/>
        <color theme="1"/>
        <rFont val="Calibri"/>
        <family val="2"/>
        <scheme val="minor"/>
      </rPr>
      <t>to</t>
    </r>
    <r>
      <rPr>
        <sz val="10.3"/>
        <color theme="1"/>
        <rFont val="Calibri"/>
        <family val="2"/>
        <scheme val="minor"/>
      </rPr>
      <t>]</t>
    </r>
  </si>
  <si>
    <r>
      <t>[D</t>
    </r>
    <r>
      <rPr>
        <vertAlign val="subscript"/>
        <sz val="10.3"/>
        <color theme="1"/>
        <rFont val="Calibri"/>
        <family val="2"/>
        <scheme val="minor"/>
      </rPr>
      <t>eng</t>
    </r>
    <r>
      <rPr>
        <sz val="10.3"/>
        <color theme="1"/>
        <rFont val="Calibri"/>
        <family val="2"/>
        <scheme val="minor"/>
      </rPr>
      <t>]</t>
    </r>
  </si>
  <si>
    <r>
      <t>[L</t>
    </r>
    <r>
      <rPr>
        <vertAlign val="subscript"/>
        <sz val="10.3"/>
        <color theme="1"/>
        <rFont val="Calibri"/>
        <family val="2"/>
        <scheme val="minor"/>
      </rPr>
      <t>eng</t>
    </r>
    <r>
      <rPr>
        <sz val="10.3"/>
        <color theme="1"/>
        <rFont val="Calibri"/>
        <family val="2"/>
        <scheme val="minor"/>
      </rPr>
      <t>]</t>
    </r>
  </si>
  <si>
    <r>
      <t>[T</t>
    </r>
    <r>
      <rPr>
        <vertAlign val="subscript"/>
        <sz val="10.3"/>
        <color theme="1"/>
        <rFont val="Calibri"/>
        <family val="2"/>
        <scheme val="minor"/>
      </rPr>
      <t>to</t>
    </r>
    <r>
      <rPr>
        <sz val="10.3"/>
        <color theme="1"/>
        <rFont val="Calibri"/>
        <family val="2"/>
        <scheme val="minor"/>
      </rPr>
      <t>]</t>
    </r>
  </si>
  <si>
    <r>
      <t>Relación T</t>
    </r>
    <r>
      <rPr>
        <vertAlign val="subscript"/>
        <sz val="10.3"/>
        <color theme="1"/>
        <rFont val="Calibri"/>
        <family val="2"/>
        <scheme val="minor"/>
      </rPr>
      <t>to</t>
    </r>
    <r>
      <rPr>
        <sz val="10.3"/>
        <color theme="1"/>
        <rFont val="Calibri"/>
        <family val="2"/>
        <scheme val="minor"/>
      </rPr>
      <t>/MTOW</t>
    </r>
  </si>
  <si>
    <r>
      <t>[T</t>
    </r>
    <r>
      <rPr>
        <vertAlign val="subscript"/>
        <sz val="10.3"/>
        <color theme="1"/>
        <rFont val="Calibri"/>
        <family val="2"/>
        <scheme val="minor"/>
      </rPr>
      <t>to</t>
    </r>
    <r>
      <rPr>
        <sz val="10.3"/>
        <color theme="1"/>
        <rFont val="Calibri"/>
        <family val="2"/>
        <scheme val="minor"/>
      </rPr>
      <t>/MTOW]</t>
    </r>
  </si>
  <si>
    <r>
      <t>[pax</t>
    </r>
    <r>
      <rPr>
        <vertAlign val="subscript"/>
        <sz val="10.3"/>
        <color theme="1"/>
        <rFont val="Calibri"/>
        <family val="2"/>
        <scheme val="minor"/>
      </rPr>
      <t>min</t>
    </r>
    <r>
      <rPr>
        <sz val="10.3"/>
        <color theme="1"/>
        <rFont val="Calibri"/>
        <family val="2"/>
        <scheme val="minor"/>
      </rPr>
      <t>]</t>
    </r>
  </si>
  <si>
    <r>
      <t>[pax</t>
    </r>
    <r>
      <rPr>
        <vertAlign val="subscript"/>
        <sz val="10.3"/>
        <color theme="1"/>
        <rFont val="Calibri"/>
        <family val="2"/>
        <scheme val="minor"/>
      </rPr>
      <t>max</t>
    </r>
    <r>
      <rPr>
        <sz val="10.3"/>
        <color theme="1"/>
        <rFont val="Calibri"/>
        <family val="2"/>
        <scheme val="minor"/>
      </rPr>
      <t>]</t>
    </r>
  </si>
  <si>
    <r>
      <t>[l</t>
    </r>
    <r>
      <rPr>
        <vertAlign val="subscript"/>
        <sz val="10.3"/>
        <color theme="1"/>
        <rFont val="Calibri"/>
        <family val="2"/>
        <scheme val="minor"/>
      </rPr>
      <t>c</t>
    </r>
    <r>
      <rPr>
        <sz val="10.3"/>
        <color theme="1"/>
        <rFont val="Calibri"/>
        <family val="2"/>
        <scheme val="minor"/>
      </rPr>
      <t>]</t>
    </r>
  </si>
  <si>
    <r>
      <t>[b</t>
    </r>
    <r>
      <rPr>
        <vertAlign val="subscript"/>
        <sz val="10.3"/>
        <color theme="1"/>
        <rFont val="Calibri"/>
        <family val="2"/>
        <scheme val="minor"/>
      </rPr>
      <t>c</t>
    </r>
    <r>
      <rPr>
        <sz val="10.3"/>
        <color theme="1"/>
        <rFont val="Calibri"/>
        <family val="2"/>
        <scheme val="minor"/>
      </rPr>
      <t>]</t>
    </r>
  </si>
  <si>
    <r>
      <t>[h</t>
    </r>
    <r>
      <rPr>
        <vertAlign val="subscript"/>
        <sz val="10.3"/>
        <color theme="1"/>
        <rFont val="Calibri"/>
        <family val="2"/>
        <scheme val="minor"/>
      </rPr>
      <t>c</t>
    </r>
    <r>
      <rPr>
        <sz val="10.3"/>
        <color theme="1"/>
        <rFont val="Calibri"/>
        <family val="2"/>
        <scheme val="minor"/>
      </rPr>
      <t>]</t>
    </r>
  </si>
  <si>
    <r>
      <t>[Vol</t>
    </r>
    <r>
      <rPr>
        <vertAlign val="subscript"/>
        <sz val="10.3"/>
        <color theme="1"/>
        <rFont val="Calibri"/>
        <family val="2"/>
        <scheme val="minor"/>
      </rPr>
      <t>c</t>
    </r>
    <r>
      <rPr>
        <sz val="10.3"/>
        <color theme="1"/>
        <rFont val="Calibri"/>
        <family val="2"/>
        <scheme val="minor"/>
      </rPr>
      <t>]</t>
    </r>
  </si>
  <si>
    <r>
      <t>[m</t>
    </r>
    <r>
      <rPr>
        <vertAlign val="superscript"/>
        <sz val="10.3"/>
        <color theme="1"/>
        <rFont val="Calibri"/>
        <family val="2"/>
        <scheme val="minor"/>
      </rPr>
      <t>3</t>
    </r>
    <r>
      <rPr>
        <sz val="10.3"/>
        <color theme="1"/>
        <rFont val="Calibri"/>
        <family val="2"/>
        <scheme val="minor"/>
      </rPr>
      <t>]</t>
    </r>
  </si>
  <si>
    <r>
      <t>[Vol</t>
    </r>
    <r>
      <rPr>
        <vertAlign val="subscript"/>
        <sz val="10.3"/>
        <color theme="1"/>
        <rFont val="Calibri"/>
        <family val="2"/>
        <scheme val="minor"/>
      </rPr>
      <t>bag</t>
    </r>
    <r>
      <rPr>
        <sz val="10.3"/>
        <color theme="1"/>
        <rFont val="Calibri"/>
        <family val="2"/>
        <scheme val="minor"/>
      </rPr>
      <t>]</t>
    </r>
  </si>
  <si>
    <r>
      <t>[l</t>
    </r>
    <r>
      <rPr>
        <vertAlign val="subscript"/>
        <sz val="10.3"/>
        <color theme="1"/>
        <rFont val="Calibri"/>
        <family val="2"/>
        <scheme val="minor"/>
      </rPr>
      <t>f</t>
    </r>
    <r>
      <rPr>
        <sz val="10.3"/>
        <color theme="1"/>
        <rFont val="Calibri"/>
        <family val="2"/>
        <scheme val="minor"/>
      </rPr>
      <t>]</t>
    </r>
  </si>
  <si>
    <r>
      <rPr>
        <sz val="10.3"/>
        <color theme="1"/>
        <rFont val="Calibri"/>
        <family val="2"/>
        <scheme val="minor"/>
      </rPr>
      <t>Relación l</t>
    </r>
    <r>
      <rPr>
        <vertAlign val="subscript"/>
        <sz val="10.3"/>
        <color theme="1"/>
        <rFont val="Calibri"/>
        <family val="2"/>
        <scheme val="minor"/>
      </rPr>
      <t>f</t>
    </r>
    <r>
      <rPr>
        <sz val="10.3"/>
        <color theme="1"/>
        <rFont val="Calibri"/>
        <family val="2"/>
        <scheme val="minor"/>
      </rPr>
      <t>/b</t>
    </r>
  </si>
  <si>
    <r>
      <t>[l</t>
    </r>
    <r>
      <rPr>
        <vertAlign val="subscript"/>
        <sz val="10.3"/>
        <color theme="1"/>
        <rFont val="Calibri"/>
        <family val="2"/>
        <scheme val="minor"/>
      </rPr>
      <t>f</t>
    </r>
    <r>
      <rPr>
        <sz val="10.3"/>
        <color theme="1"/>
        <rFont val="Calibri"/>
        <family val="2"/>
        <scheme val="minor"/>
      </rPr>
      <t>/b]</t>
    </r>
  </si>
  <si>
    <r>
      <t>Relación l</t>
    </r>
    <r>
      <rPr>
        <vertAlign val="subscript"/>
        <sz val="10.3"/>
        <color theme="1"/>
        <rFont val="Calibri"/>
        <family val="2"/>
        <scheme val="minor"/>
      </rPr>
      <t>f</t>
    </r>
    <r>
      <rPr>
        <sz val="10.3"/>
        <color theme="1"/>
        <rFont val="Calibri"/>
        <family val="2"/>
        <scheme val="minor"/>
      </rPr>
      <t>/l</t>
    </r>
    <r>
      <rPr>
        <vertAlign val="subscript"/>
        <sz val="10.3"/>
        <color theme="1"/>
        <rFont val="Calibri"/>
        <family val="2"/>
        <scheme val="minor"/>
      </rPr>
      <t>max</t>
    </r>
  </si>
  <si>
    <r>
      <t>[l</t>
    </r>
    <r>
      <rPr>
        <vertAlign val="subscript"/>
        <sz val="10.3"/>
        <color theme="1"/>
        <rFont val="Calibri"/>
        <family val="2"/>
        <scheme val="minor"/>
      </rPr>
      <t>f</t>
    </r>
    <r>
      <rPr>
        <sz val="10.3"/>
        <color theme="1"/>
        <rFont val="Calibri"/>
        <family val="2"/>
        <scheme val="minor"/>
      </rPr>
      <t>/l</t>
    </r>
    <r>
      <rPr>
        <vertAlign val="subscript"/>
        <sz val="10.3"/>
        <color theme="1"/>
        <rFont val="Calibri"/>
        <family val="2"/>
        <scheme val="minor"/>
      </rPr>
      <t>max</t>
    </r>
    <r>
      <rPr>
        <sz val="10.3"/>
        <color theme="1"/>
        <rFont val="Calibri"/>
        <family val="2"/>
        <scheme val="minor"/>
      </rPr>
      <t>]</t>
    </r>
  </si>
  <si>
    <r>
      <t>[b</t>
    </r>
    <r>
      <rPr>
        <vertAlign val="subscript"/>
        <sz val="10.3"/>
        <color theme="1"/>
        <rFont val="Calibri"/>
        <family val="2"/>
        <scheme val="minor"/>
      </rPr>
      <t>f</t>
    </r>
    <r>
      <rPr>
        <sz val="10.3"/>
        <color theme="1"/>
        <rFont val="Calibri"/>
        <family val="2"/>
        <scheme val="minor"/>
      </rPr>
      <t>]</t>
    </r>
  </si>
  <si>
    <r>
      <t>[h</t>
    </r>
    <r>
      <rPr>
        <vertAlign val="subscript"/>
        <sz val="10.3"/>
        <color theme="1"/>
        <rFont val="Calibri"/>
        <family val="2"/>
        <scheme val="minor"/>
      </rPr>
      <t>f</t>
    </r>
    <r>
      <rPr>
        <sz val="10.3"/>
        <color theme="1"/>
        <rFont val="Calibri"/>
        <family val="2"/>
        <scheme val="minor"/>
      </rPr>
      <t>]</t>
    </r>
  </si>
  <si>
    <r>
      <t>[S</t>
    </r>
    <r>
      <rPr>
        <vertAlign val="subscript"/>
        <sz val="10.3"/>
        <color theme="1"/>
        <rFont val="Calibri"/>
        <family val="2"/>
        <scheme val="minor"/>
      </rPr>
      <t>ff</t>
    </r>
    <r>
      <rPr>
        <sz val="10.3"/>
        <color theme="1"/>
        <rFont val="Calibri"/>
        <family val="2"/>
        <scheme val="minor"/>
      </rPr>
      <t>]</t>
    </r>
  </si>
  <si>
    <r>
      <t>[m</t>
    </r>
    <r>
      <rPr>
        <vertAlign val="superscript"/>
        <sz val="10.3"/>
        <color theme="1"/>
        <rFont val="Calibri"/>
        <family val="2"/>
        <scheme val="minor"/>
      </rPr>
      <t>2</t>
    </r>
    <r>
      <rPr>
        <sz val="10.3"/>
        <color theme="1"/>
        <rFont val="Calibri"/>
        <family val="2"/>
        <scheme val="minor"/>
      </rPr>
      <t>]</t>
    </r>
  </si>
  <si>
    <r>
      <t>[d</t>
    </r>
    <r>
      <rPr>
        <vertAlign val="subscript"/>
        <sz val="10.3"/>
        <color theme="1"/>
        <rFont val="Calibri"/>
        <family val="2"/>
        <scheme val="minor"/>
      </rPr>
      <t>min</t>
    </r>
    <r>
      <rPr>
        <sz val="10.3"/>
        <color theme="1"/>
        <rFont val="Calibri"/>
        <family val="2"/>
        <scheme val="minor"/>
      </rPr>
      <t>]</t>
    </r>
  </si>
  <si>
    <r>
      <t>[</t>
    </r>
    <r>
      <rPr>
        <sz val="10.3"/>
        <color theme="1"/>
        <rFont val="Symbol"/>
        <family val="1"/>
        <charset val="2"/>
      </rPr>
      <t>l</t>
    </r>
    <r>
      <rPr>
        <vertAlign val="subscript"/>
        <sz val="10.3"/>
        <color theme="1"/>
        <rFont val="Calibri"/>
        <family val="2"/>
        <scheme val="minor"/>
      </rPr>
      <t>f</t>
    </r>
    <r>
      <rPr>
        <sz val="10.3"/>
        <color theme="1"/>
        <rFont val="Calibri"/>
        <family val="2"/>
        <scheme val="minor"/>
      </rPr>
      <t>]</t>
    </r>
  </si>
  <si>
    <r>
      <t>[l</t>
    </r>
    <r>
      <rPr>
        <vertAlign val="subscript"/>
        <sz val="10.3"/>
        <color theme="1"/>
        <rFont val="Calibri"/>
        <family val="2"/>
        <scheme val="minor"/>
      </rPr>
      <t>w</t>
    </r>
    <r>
      <rPr>
        <sz val="10.3"/>
        <color theme="1"/>
        <rFont val="Calibri"/>
        <family val="2"/>
        <scheme val="minor"/>
      </rPr>
      <t>]</t>
    </r>
  </si>
  <si>
    <r>
      <t>[l</t>
    </r>
    <r>
      <rPr>
        <vertAlign val="subscript"/>
        <sz val="10.3"/>
        <color theme="1"/>
        <rFont val="Calibri"/>
        <family val="2"/>
        <scheme val="minor"/>
      </rPr>
      <t>wr</t>
    </r>
    <r>
      <rPr>
        <sz val="10.3"/>
        <color theme="1"/>
        <rFont val="Calibri"/>
        <family val="2"/>
        <scheme val="minor"/>
      </rPr>
      <t>]</t>
    </r>
  </si>
  <si>
    <r>
      <t>[S</t>
    </r>
    <r>
      <rPr>
        <vertAlign val="subscript"/>
        <sz val="10.3"/>
        <color theme="1"/>
        <rFont val="Calibri"/>
        <family val="2"/>
        <scheme val="minor"/>
      </rPr>
      <t>w</t>
    </r>
    <r>
      <rPr>
        <sz val="10.3"/>
        <color theme="1"/>
        <rFont val="Calibri"/>
        <family val="2"/>
        <scheme val="minor"/>
      </rPr>
      <t>]</t>
    </r>
  </si>
  <si>
    <r>
      <t>[b</t>
    </r>
    <r>
      <rPr>
        <vertAlign val="subscript"/>
        <sz val="10.3"/>
        <color theme="1"/>
        <rFont val="Calibri"/>
        <family val="2"/>
        <scheme val="minor"/>
      </rPr>
      <t>1/2</t>
    </r>
    <r>
      <rPr>
        <sz val="10.3"/>
        <color theme="1"/>
        <rFont val="Calibri"/>
        <family val="2"/>
        <scheme val="minor"/>
      </rPr>
      <t>]</t>
    </r>
  </si>
  <si>
    <r>
      <t>[c</t>
    </r>
    <r>
      <rPr>
        <vertAlign val="subscript"/>
        <sz val="10.3"/>
        <color theme="1"/>
        <rFont val="Calibri"/>
        <family val="2"/>
        <scheme val="minor"/>
      </rPr>
      <t>t</t>
    </r>
    <r>
      <rPr>
        <sz val="10.3"/>
        <color theme="1"/>
        <rFont val="Calibri"/>
        <family val="2"/>
        <scheme val="minor"/>
      </rPr>
      <t>]</t>
    </r>
  </si>
  <si>
    <r>
      <t>[c</t>
    </r>
    <r>
      <rPr>
        <vertAlign val="subscript"/>
        <sz val="10.3"/>
        <color theme="1"/>
        <rFont val="Calibri"/>
        <family val="2"/>
        <scheme val="minor"/>
      </rPr>
      <t>r</t>
    </r>
    <r>
      <rPr>
        <sz val="10.3"/>
        <color theme="1"/>
        <rFont val="Calibri"/>
        <family val="2"/>
        <scheme val="minor"/>
      </rPr>
      <t>]</t>
    </r>
  </si>
  <si>
    <r>
      <t>[l</t>
    </r>
    <r>
      <rPr>
        <vertAlign val="subscript"/>
        <sz val="10.3"/>
        <color theme="1"/>
        <rFont val="Calibri"/>
        <family val="2"/>
        <scheme val="minor"/>
      </rPr>
      <t>CMA</t>
    </r>
    <r>
      <rPr>
        <sz val="10.3"/>
        <color theme="1"/>
        <rFont val="Calibri"/>
        <family val="2"/>
        <scheme val="minor"/>
      </rPr>
      <t>]</t>
    </r>
  </si>
  <si>
    <r>
      <t>[CMA</t>
    </r>
    <r>
      <rPr>
        <vertAlign val="subscript"/>
        <sz val="10.3"/>
        <color theme="1"/>
        <rFont val="Calibri"/>
        <family val="2"/>
        <scheme val="minor"/>
      </rPr>
      <t>1/4</t>
    </r>
    <r>
      <rPr>
        <sz val="10.3"/>
        <color theme="1"/>
        <rFont val="Calibri"/>
        <family val="2"/>
        <scheme val="minor"/>
      </rPr>
      <t>]</t>
    </r>
  </si>
  <si>
    <r>
      <t>[b</t>
    </r>
    <r>
      <rPr>
        <vertAlign val="subscript"/>
        <sz val="10.3"/>
        <color theme="1"/>
        <rFont val="Calibri"/>
        <family val="2"/>
        <scheme val="minor"/>
      </rPr>
      <t>CMA</t>
    </r>
    <r>
      <rPr>
        <sz val="10.3"/>
        <color theme="1"/>
        <rFont val="Calibri"/>
        <family val="2"/>
        <scheme val="minor"/>
      </rPr>
      <t>]</t>
    </r>
  </si>
  <si>
    <r>
      <t>[</t>
    </r>
    <r>
      <rPr>
        <sz val="10.3"/>
        <color theme="1"/>
        <rFont val="Symbol"/>
        <family val="1"/>
        <charset val="2"/>
      </rPr>
      <t>L</t>
    </r>
    <r>
      <rPr>
        <sz val="10.3"/>
        <color theme="1"/>
        <rFont val="Calibri"/>
        <family val="2"/>
        <scheme val="minor"/>
      </rPr>
      <t>]</t>
    </r>
  </si>
  <si>
    <r>
      <t>[</t>
    </r>
    <r>
      <rPr>
        <sz val="10.3"/>
        <color theme="1"/>
        <rFont val="Symbol"/>
        <family val="1"/>
        <charset val="2"/>
      </rPr>
      <t>l</t>
    </r>
    <r>
      <rPr>
        <sz val="10.3"/>
        <color theme="1"/>
        <rFont val="Calibri"/>
        <family val="2"/>
        <scheme val="minor"/>
      </rPr>
      <t>]</t>
    </r>
  </si>
  <si>
    <r>
      <t>[</t>
    </r>
    <r>
      <rPr>
        <sz val="10.3"/>
        <color theme="1"/>
        <rFont val="Symbol"/>
        <family val="1"/>
        <charset val="2"/>
      </rPr>
      <t>L</t>
    </r>
    <r>
      <rPr>
        <vertAlign val="subscript"/>
        <sz val="10.3"/>
        <color theme="1"/>
        <rFont val="Symbol"/>
        <family val="1"/>
        <charset val="2"/>
      </rPr>
      <t>1/4</t>
    </r>
    <r>
      <rPr>
        <sz val="10.3"/>
        <color theme="1"/>
        <rFont val="Calibri"/>
        <family val="2"/>
        <scheme val="minor"/>
      </rPr>
      <t>]</t>
    </r>
  </si>
  <si>
    <r>
      <t>[</t>
    </r>
    <r>
      <rPr>
        <sz val="10.3"/>
        <color theme="1"/>
        <rFont val="Symbol"/>
        <family val="1"/>
        <charset val="2"/>
      </rPr>
      <t>°</t>
    </r>
    <r>
      <rPr>
        <sz val="10.3"/>
        <color theme="1"/>
        <rFont val="Calibri"/>
        <family val="2"/>
        <scheme val="minor"/>
      </rPr>
      <t>]</t>
    </r>
  </si>
  <si>
    <r>
      <t>[</t>
    </r>
    <r>
      <rPr>
        <sz val="10.3"/>
        <color theme="1"/>
        <rFont val="Symbol"/>
        <family val="1"/>
        <charset val="2"/>
      </rPr>
      <t>G</t>
    </r>
    <r>
      <rPr>
        <sz val="10.3"/>
        <color theme="1"/>
        <rFont val="Calibri"/>
        <family val="2"/>
        <scheme val="minor"/>
      </rPr>
      <t>]</t>
    </r>
  </si>
  <si>
    <r>
      <t>[</t>
    </r>
    <r>
      <rPr>
        <sz val="10.3"/>
        <color theme="1"/>
        <rFont val="Symbol"/>
        <family val="1"/>
        <charset val="2"/>
      </rPr>
      <t>°</t>
    </r>
    <r>
      <rPr>
        <sz val="10.3"/>
        <color theme="1"/>
        <rFont val="Calibri"/>
        <family val="2"/>
      </rPr>
      <t>]</t>
    </r>
  </si>
  <si>
    <r>
      <t>[MTOW/S</t>
    </r>
    <r>
      <rPr>
        <vertAlign val="subscript"/>
        <sz val="10.3"/>
        <color theme="1"/>
        <rFont val="Calibri"/>
        <family val="2"/>
        <scheme val="minor"/>
      </rPr>
      <t>w</t>
    </r>
    <r>
      <rPr>
        <sz val="10.3"/>
        <color theme="1"/>
        <rFont val="Calibri"/>
        <family val="2"/>
        <scheme val="minor"/>
      </rPr>
      <t>]</t>
    </r>
  </si>
  <si>
    <r>
      <t>[kg/m</t>
    </r>
    <r>
      <rPr>
        <vertAlign val="superscript"/>
        <sz val="10.3"/>
        <color theme="1"/>
        <rFont val="Calibri"/>
        <family val="2"/>
        <scheme val="minor"/>
      </rPr>
      <t>2</t>
    </r>
    <r>
      <rPr>
        <sz val="10.3"/>
        <color theme="1"/>
        <rFont val="Calibri"/>
        <family val="2"/>
        <scheme val="minor"/>
      </rPr>
      <t>]</t>
    </r>
  </si>
  <si>
    <r>
      <t>Relación B/l</t>
    </r>
    <r>
      <rPr>
        <vertAlign val="subscript"/>
        <sz val="10.3"/>
        <color theme="1"/>
        <rFont val="Calibri"/>
        <family val="2"/>
        <scheme val="minor"/>
      </rPr>
      <t>f</t>
    </r>
  </si>
  <si>
    <r>
      <t>[B/l</t>
    </r>
    <r>
      <rPr>
        <vertAlign val="subscript"/>
        <sz val="10.3"/>
        <color theme="1"/>
        <rFont val="Calibri"/>
        <family val="2"/>
        <scheme val="minor"/>
      </rPr>
      <t>f</t>
    </r>
    <r>
      <rPr>
        <sz val="10.3"/>
        <color theme="1"/>
        <rFont val="Calibri"/>
        <family val="2"/>
        <scheme val="minor"/>
      </rPr>
      <t>]</t>
    </r>
  </si>
  <si>
    <r>
      <t>[N</t>
    </r>
    <r>
      <rPr>
        <vertAlign val="subscript"/>
        <sz val="10.3"/>
        <color theme="1"/>
        <rFont val="Calibri"/>
        <family val="2"/>
        <scheme val="minor"/>
      </rPr>
      <t>p</t>
    </r>
    <r>
      <rPr>
        <sz val="10.3"/>
        <color theme="1"/>
        <rFont val="Calibri"/>
        <family val="2"/>
        <scheme val="minor"/>
      </rPr>
      <t>]</t>
    </r>
  </si>
  <si>
    <r>
      <t>[D</t>
    </r>
    <r>
      <rPr>
        <vertAlign val="subscript"/>
        <sz val="10.3"/>
        <color theme="1"/>
        <rFont val="Calibri"/>
        <family val="2"/>
        <scheme val="minor"/>
      </rPr>
      <t>mw</t>
    </r>
    <r>
      <rPr>
        <sz val="10.3"/>
        <color theme="1"/>
        <rFont val="Calibri"/>
        <family val="2"/>
        <scheme val="minor"/>
      </rPr>
      <t>]</t>
    </r>
  </si>
  <si>
    <r>
      <t>[b</t>
    </r>
    <r>
      <rPr>
        <vertAlign val="subscript"/>
        <sz val="10.3"/>
        <color theme="1"/>
        <rFont val="Calibri"/>
        <family val="2"/>
        <scheme val="minor"/>
      </rPr>
      <t>mw</t>
    </r>
    <r>
      <rPr>
        <sz val="10.3"/>
        <color theme="1"/>
        <rFont val="Calibri"/>
        <family val="2"/>
        <scheme val="minor"/>
      </rPr>
      <t>]</t>
    </r>
  </si>
  <si>
    <r>
      <t>[D</t>
    </r>
    <r>
      <rPr>
        <vertAlign val="subscript"/>
        <sz val="10.3"/>
        <color theme="1"/>
        <rFont val="Calibri"/>
        <family val="2"/>
        <scheme val="minor"/>
      </rPr>
      <t>nw</t>
    </r>
    <r>
      <rPr>
        <sz val="10.3"/>
        <color theme="1"/>
        <rFont val="Calibri"/>
        <family val="2"/>
        <scheme val="minor"/>
      </rPr>
      <t>]</t>
    </r>
  </si>
  <si>
    <r>
      <t>[b</t>
    </r>
    <r>
      <rPr>
        <vertAlign val="subscript"/>
        <sz val="10.3"/>
        <color theme="1"/>
        <rFont val="Calibri"/>
        <family val="2"/>
        <scheme val="minor"/>
      </rPr>
      <t>nw</t>
    </r>
    <r>
      <rPr>
        <sz val="10.3"/>
        <color theme="1"/>
        <rFont val="Calibri"/>
        <family val="2"/>
        <scheme val="minor"/>
      </rPr>
      <t>]</t>
    </r>
  </si>
  <si>
    <r>
      <t>[V</t>
    </r>
    <r>
      <rPr>
        <vertAlign val="subscript"/>
        <sz val="10.3"/>
        <color theme="1"/>
        <rFont val="Calibri"/>
        <family val="2"/>
        <scheme val="minor"/>
      </rPr>
      <t>max</t>
    </r>
    <r>
      <rPr>
        <sz val="10.3"/>
        <color theme="1"/>
        <rFont val="Calibri"/>
        <family val="2"/>
        <scheme val="minor"/>
      </rPr>
      <t>]</t>
    </r>
  </si>
  <si>
    <r>
      <t>[V</t>
    </r>
    <r>
      <rPr>
        <vertAlign val="subscript"/>
        <sz val="10.3"/>
        <color theme="1"/>
        <rFont val="Calibri"/>
        <family val="2"/>
        <scheme val="minor"/>
      </rPr>
      <t>cruise</t>
    </r>
    <r>
      <rPr>
        <sz val="10.3"/>
        <color theme="1"/>
        <rFont val="Calibri"/>
        <family val="2"/>
        <scheme val="minor"/>
      </rPr>
      <t>]</t>
    </r>
  </si>
  <si>
    <r>
      <t>[M</t>
    </r>
    <r>
      <rPr>
        <vertAlign val="subscript"/>
        <sz val="10.3"/>
        <color theme="1"/>
        <rFont val="Calibri"/>
        <family val="2"/>
        <scheme val="minor"/>
      </rPr>
      <t>cruise</t>
    </r>
    <r>
      <rPr>
        <sz val="10.3"/>
        <color theme="1"/>
        <rFont val="Calibri"/>
        <family val="2"/>
        <scheme val="minor"/>
      </rPr>
      <t>]</t>
    </r>
  </si>
  <si>
    <r>
      <t>[V</t>
    </r>
    <r>
      <rPr>
        <vertAlign val="subscript"/>
        <sz val="10.3"/>
        <color theme="1"/>
        <rFont val="Calibri"/>
        <family val="2"/>
        <scheme val="minor"/>
      </rPr>
      <t>stall_TO</t>
    </r>
    <r>
      <rPr>
        <sz val="10.3"/>
        <color theme="1"/>
        <rFont val="Calibri"/>
        <family val="2"/>
        <scheme val="minor"/>
      </rPr>
      <t>]</t>
    </r>
  </si>
  <si>
    <r>
      <t>[V</t>
    </r>
    <r>
      <rPr>
        <vertAlign val="subscript"/>
        <sz val="10.3"/>
        <color theme="1"/>
        <rFont val="Calibri"/>
        <family val="2"/>
        <scheme val="minor"/>
      </rPr>
      <t>stall_L</t>
    </r>
    <r>
      <rPr>
        <sz val="10.3"/>
        <color theme="1"/>
        <rFont val="Calibri"/>
        <family val="2"/>
        <scheme val="minor"/>
      </rPr>
      <t>]</t>
    </r>
  </si>
  <si>
    <r>
      <t>[V</t>
    </r>
    <r>
      <rPr>
        <vertAlign val="subscript"/>
        <sz val="10.3"/>
        <color theme="1"/>
        <rFont val="Calibri"/>
        <family val="2"/>
        <scheme val="minor"/>
      </rPr>
      <t>2</t>
    </r>
    <r>
      <rPr>
        <sz val="10.3"/>
        <color theme="1"/>
        <rFont val="Calibri"/>
        <family val="2"/>
        <scheme val="minor"/>
      </rPr>
      <t>]</t>
    </r>
  </si>
  <si>
    <r>
      <t>[V</t>
    </r>
    <r>
      <rPr>
        <vertAlign val="subscript"/>
        <sz val="10.3"/>
        <color theme="1"/>
        <rFont val="Calibri"/>
        <family val="2"/>
        <scheme val="minor"/>
      </rPr>
      <t>ref</t>
    </r>
    <r>
      <rPr>
        <sz val="10.3"/>
        <color theme="1"/>
        <rFont val="Calibri"/>
        <family val="2"/>
        <scheme val="minor"/>
      </rPr>
      <t>]</t>
    </r>
  </si>
  <si>
    <r>
      <t>[V</t>
    </r>
    <r>
      <rPr>
        <vertAlign val="subscript"/>
        <sz val="10.3"/>
        <color theme="1"/>
        <rFont val="Calibri"/>
        <family val="2"/>
        <scheme val="minor"/>
      </rPr>
      <t>asc</t>
    </r>
    <r>
      <rPr>
        <sz val="10.3"/>
        <color theme="1"/>
        <rFont val="Calibri"/>
        <family val="2"/>
        <scheme val="minor"/>
      </rPr>
      <t>]</t>
    </r>
  </si>
  <si>
    <r>
      <t>[H</t>
    </r>
    <r>
      <rPr>
        <vertAlign val="subscript"/>
        <sz val="10.3"/>
        <color theme="1"/>
        <rFont val="Calibri"/>
        <family val="2"/>
        <scheme val="minor"/>
      </rPr>
      <t>max</t>
    </r>
    <r>
      <rPr>
        <sz val="10.3"/>
        <color theme="1"/>
        <rFont val="Calibri"/>
        <family val="2"/>
        <scheme val="minor"/>
      </rPr>
      <t>]</t>
    </r>
  </si>
  <si>
    <r>
      <t>[H</t>
    </r>
    <r>
      <rPr>
        <vertAlign val="subscript"/>
        <sz val="10.3"/>
        <color theme="1"/>
        <rFont val="Calibri"/>
        <family val="2"/>
        <scheme val="minor"/>
      </rPr>
      <t>cruise</t>
    </r>
    <r>
      <rPr>
        <sz val="10.3"/>
        <color theme="1"/>
        <rFont val="Calibri"/>
        <family val="2"/>
        <scheme val="minor"/>
      </rPr>
      <t>]</t>
    </r>
  </si>
  <si>
    <r>
      <t>[S</t>
    </r>
    <r>
      <rPr>
        <vertAlign val="subscript"/>
        <sz val="10.3"/>
        <color theme="1"/>
        <rFont val="Calibri"/>
        <family val="2"/>
        <scheme val="minor"/>
      </rPr>
      <t>to</t>
    </r>
    <r>
      <rPr>
        <sz val="10.3"/>
        <color theme="1"/>
        <rFont val="Calibri"/>
        <family val="2"/>
        <scheme val="minor"/>
      </rPr>
      <t>]</t>
    </r>
  </si>
  <si>
    <r>
      <t>[S</t>
    </r>
    <r>
      <rPr>
        <vertAlign val="subscript"/>
        <sz val="10.3"/>
        <color theme="1"/>
        <rFont val="Calibri"/>
        <family val="2"/>
        <scheme val="minor"/>
      </rPr>
      <t>L</t>
    </r>
    <r>
      <rPr>
        <sz val="10.3"/>
        <color theme="1"/>
        <rFont val="Calibri"/>
        <family val="2"/>
        <scheme val="minor"/>
      </rPr>
      <t>]</t>
    </r>
  </si>
  <si>
    <t>Semejante 1</t>
  </si>
  <si>
    <t>Semejante 2</t>
  </si>
  <si>
    <t>Semejante 3</t>
  </si>
  <si>
    <t>Semejante 4</t>
  </si>
  <si>
    <t>Semejante 5</t>
  </si>
  <si>
    <t>Semejante 6</t>
  </si>
  <si>
    <t>Semejante 7</t>
  </si>
  <si>
    <t>Semejante 8</t>
  </si>
  <si>
    <t>Semejante 9</t>
  </si>
  <si>
    <t>Semejante 10</t>
  </si>
  <si>
    <t>Semejante 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</si>
</sst>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409]dd\-mmm\-yy;@"/>
    <numFmt numFmtId="165" formatCode="0.000"/>
  </numFmts>
  <fonts count="13" x14ac:knownFonts="1">
    <font>
      <sz val="11"/>
      <color theme="1"/>
      <name val="Calibri"/>
      <family val="2"/>
      <scheme val="minor"/>
    </font>
    <font>
      <sz val="9"/>
      <color indexed="81"/>
      <name val="Tahoma"/>
      <family val="2"/>
    </font>
    <font>
      <b/>
      <sz val="9"/>
      <color indexed="81"/>
      <name val="Tahoma"/>
      <family val="2"/>
    </font>
    <font>
      <vertAlign val="superscript"/>
      <sz val="11"/>
      <color theme="1"/>
      <name val="Calibri"/>
      <family val="2"/>
      <scheme val="minor"/>
    </font>
    <font>
      <sz val="9"/>
      <color indexed="81"/>
      <name val="Tahoma"/>
      <charset val="1"/>
    </font>
    <font>
      <b/>
      <sz val="9"/>
      <color indexed="81"/>
      <name val="Tahoma"/>
      <charset val="1"/>
    </font>
    <font>
      <b/>
      <sz val="10.3"/>
      <color theme="1"/>
      <name val="Calibri"/>
      <family val="2"/>
      <scheme val="minor"/>
    </font>
    <font>
      <sz val="10.3"/>
      <color theme="1"/>
      <name val="Calibri"/>
      <family val="2"/>
      <scheme val="minor"/>
    </font>
    <font>
      <vertAlign val="subscript"/>
      <sz val="10.3"/>
      <color theme="1"/>
      <name val="Calibri"/>
      <family val="2"/>
      <scheme val="minor"/>
    </font>
    <font>
      <vertAlign val="superscript"/>
      <sz val="10.3"/>
      <color theme="1"/>
      <name val="Calibri"/>
      <family val="2"/>
      <scheme val="minor"/>
    </font>
    <font>
      <sz val="10.3"/>
      <color theme="1"/>
      <name val="Symbol"/>
      <family val="1"/>
      <charset val="2"/>
    </font>
    <font>
      <vertAlign val="subscript"/>
      <sz val="10.3"/>
      <color theme="1"/>
      <name val="Symbol"/>
      <family val="1"/>
      <charset val="2"/>
    </font>
    <font>
      <sz val="10.3"/>
      <color theme="1"/>
      <name val="Calibri"/>
      <family val="2"/>
    </font>
  </fonts>
  <fills count="5">
    <fill>
      <patternFill patternType="none"/>
    </fill>
    <fill>
      <patternFill patternType="gray125"/>
    </fill>
    <fill>
      <patternFill patternType="solid">
        <fgColor theme="9" tint="0.79998168889431442"/>
        <bgColor indexed="64"/>
      </patternFill>
    </fill>
    <fill>
      <patternFill patternType="solid">
        <fgColor theme="9" tint="0.59999389629810485"/>
        <bgColor indexed="64"/>
      </patternFill>
    </fill>
    <fill>
      <patternFill patternType="solid">
        <fgColor theme="7" tint="0.59999389629810485"/>
        <bgColor indexed="64"/>
      </patternFill>
    </fill>
  </fills>
  <borders count="1">
    <border>
      <left/>
      <right/>
      <top/>
      <bottom/>
      <diagonal/>
    </border>
  </borders>
  <cellStyleXfs count="1">
    <xf numFmtId="0" fontId="0" fillId="0" borderId="0"/>
  </cellStyleXfs>
  <cellXfs count="35">
    <xf numFmtId="0" fontId="0" fillId="0" borderId="0" xfId="0"/>
    <xf numFmtId="2" fontId="0" fillId="0" borderId="0" xfId="0" applyNumberFormat="1"/>
    <xf numFmtId="0" fontId="0" fillId="3" borderId="0" xfId="0" applyFill="1"/>
    <xf numFmtId="0" fontId="0" fillId="2" borderId="0" xfId="0" applyFill="1"/>
    <xf numFmtId="0" fontId="6" fillId="4" borderId="0" xfId="0" applyFont="1" applyFill="1" applyAlignment="1">
      <alignment horizontal="center" vertical="center"/>
    </xf>
    <xf numFmtId="0" fontId="6" fillId="4" borderId="0" xfId="0" applyFont="1" applyFill="1" applyAlignment="1">
      <alignment horizontal="center" vertical="center" wrapText="1"/>
    </xf>
    <xf numFmtId="0" fontId="7" fillId="0" borderId="0" xfId="0" applyFont="1" applyAlignment="1">
      <alignment vertical="center"/>
    </xf>
    <xf numFmtId="0" fontId="7" fillId="2" borderId="0" xfId="0" applyFont="1" applyFill="1" applyBorder="1" applyAlignment="1">
      <alignment vertical="center" wrapText="1"/>
    </xf>
    <xf numFmtId="0" fontId="7" fillId="2" borderId="0" xfId="0" applyFont="1" applyFill="1" applyBorder="1" applyAlignment="1">
      <alignment horizontal="center" vertical="center"/>
    </xf>
    <xf numFmtId="0" fontId="7" fillId="0" borderId="0" xfId="0" applyFont="1" applyFill="1" applyAlignment="1">
      <alignment horizontal="center" vertical="center"/>
    </xf>
    <xf numFmtId="0" fontId="7" fillId="0" borderId="0" xfId="0" applyFont="1" applyAlignment="1">
      <alignment horizontal="center" vertical="center"/>
    </xf>
    <xf numFmtId="0" fontId="7" fillId="2" borderId="0" xfId="0" applyFont="1" applyFill="1" applyBorder="1" applyAlignment="1">
      <alignment horizontal="left" vertical="center" wrapText="1"/>
    </xf>
    <xf numFmtId="164" fontId="7" fillId="0" borderId="0" xfId="0" applyNumberFormat="1" applyFont="1" applyFill="1" applyAlignment="1">
      <alignment horizontal="center" vertical="center"/>
    </xf>
    <xf numFmtId="164" fontId="7" fillId="0" borderId="0" xfId="0" applyNumberFormat="1" applyFont="1" applyAlignment="1">
      <alignment horizontal="center" vertical="center"/>
    </xf>
    <xf numFmtId="2" fontId="7" fillId="0" borderId="0" xfId="0" applyNumberFormat="1" applyFont="1" applyFill="1" applyAlignment="1">
      <alignment horizontal="center" vertical="center"/>
    </xf>
    <xf numFmtId="2" fontId="7" fillId="0" borderId="0" xfId="0" applyNumberFormat="1" applyFont="1" applyAlignment="1">
      <alignment horizontal="center" vertical="center"/>
    </xf>
    <xf numFmtId="0" fontId="7" fillId="2" borderId="0" xfId="0" applyFont="1" applyFill="1" applyAlignment="1">
      <alignment horizontal="left" vertical="center" wrapText="1"/>
    </xf>
    <xf numFmtId="0" fontId="7" fillId="2" borderId="0" xfId="0" applyFont="1" applyFill="1" applyAlignment="1">
      <alignment horizontal="center" vertical="center"/>
    </xf>
    <xf numFmtId="165" fontId="7" fillId="0" borderId="0" xfId="0" applyNumberFormat="1" applyFont="1" applyAlignment="1">
      <alignment horizontal="center" vertical="center"/>
    </xf>
    <xf numFmtId="1" fontId="7" fillId="0" borderId="0" xfId="0" applyNumberFormat="1" applyFont="1" applyAlignment="1">
      <alignment horizontal="center" vertical="center"/>
    </xf>
    <xf numFmtId="1" fontId="7" fillId="0" borderId="0" xfId="0" applyNumberFormat="1" applyFont="1" applyFill="1" applyAlignment="1">
      <alignment horizontal="center" vertical="center"/>
    </xf>
    <xf numFmtId="0" fontId="7" fillId="2" borderId="0" xfId="0" applyFont="1" applyFill="1" applyAlignment="1">
      <alignment horizontal="center" vertical="center" wrapText="1"/>
    </xf>
    <xf numFmtId="0" fontId="7" fillId="0" borderId="0" xfId="0" applyFont="1" applyAlignment="1">
      <alignment horizontal="center" vertical="center" wrapText="1"/>
    </xf>
    <xf numFmtId="0" fontId="8" fillId="2" borderId="0" xfId="0" applyFont="1" applyFill="1" applyAlignment="1">
      <alignment horizontal="left" vertical="center" wrapText="1"/>
    </xf>
    <xf numFmtId="0" fontId="7" fillId="3" borderId="0" xfId="0" applyFont="1" applyFill="1" applyAlignment="1">
      <alignment horizontal="center" vertical="center" wrapText="1"/>
    </xf>
    <xf numFmtId="0" fontId="7" fillId="0" borderId="0" xfId="0" applyFont="1" applyAlignment="1">
      <alignment vertical="center" wrapText="1"/>
    </xf>
    <xf numFmtId="0" fontId="7" fillId="4" borderId="0" xfId="0" applyFont="1" applyFill="1" applyAlignment="1">
      <alignment vertical="center" wrapText="1"/>
    </xf>
    <xf numFmtId="0" fontId="7" fillId="0" borderId="0" xfId="0" applyFont="1" applyFill="1" applyAlignment="1">
      <alignment vertical="center"/>
    </xf>
    <xf numFmtId="0" fontId="7" fillId="0" borderId="0" xfId="0" applyFont="1" applyFill="1" applyAlignment="1">
      <alignment vertical="center" wrapText="1"/>
    </xf>
    <xf numFmtId="0" fontId="7" fillId="0" borderId="0" xfId="0" applyFont="1" applyFill="1" applyAlignment="1">
      <alignment horizontal="center" vertical="center" wrapText="1"/>
    </xf>
    <xf numFmtId="0" fontId="6" fillId="3" borderId="0" xfId="0" applyFont="1" applyFill="1" applyAlignment="1">
      <alignment horizontal="center" vertical="center" wrapText="1"/>
    </xf>
    <xf numFmtId="0" fontId="6" fillId="3" borderId="0" xfId="0" applyFont="1" applyFill="1" applyBorder="1" applyAlignment="1">
      <alignment horizontal="center" vertical="center" wrapText="1"/>
    </xf>
    <xf numFmtId="0" fontId="6" fillId="0" borderId="0" xfId="0" applyFont="1" applyFill="1" applyAlignment="1">
      <alignment horizontal="center" vertical="center"/>
    </xf>
    <xf numFmtId="0" fontId="6" fillId="0" borderId="0" xfId="0" applyFont="1" applyAlignment="1">
      <alignment horizontal="center" vertical="center"/>
    </xf>
    <xf numFmtId="0" fontId="7" fillId="4" borderId="0" xfId="0" applyFont="1" applyFill="1" applyAlignment="1">
      <alignment horizontal="center" vertical="center"/>
    </xf>
  </cellXfs>
  <cellStyles count="1">
    <cellStyle name="Normal" xfId="0" builtinId="0"/>
  </cellStyles>
  <dxfs count="2">
    <dxf>
      <fill>
        <patternFill>
          <bgColor rgb="FFE79991"/>
        </patternFill>
      </fill>
    </dxf>
    <dxf>
      <fill>
        <patternFill>
          <bgColor rgb="FFE39595"/>
        </patternFill>
      </fill>
    </dxf>
  </dxfs>
  <tableStyles count="0" defaultTableStyle="TableStyleMedium2" defaultPivotStyle="PivotStyleLight16"/>
  <colors>
    <mruColors>
      <color rgb="FFE39595"/>
      <color rgb="FFE7999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11</xdr:col>
      <xdr:colOff>28575</xdr:colOff>
      <xdr:row>3</xdr:row>
      <xdr:rowOff>82667</xdr:rowOff>
    </xdr:from>
    <xdr:to>
      <xdr:col>11</xdr:col>
      <xdr:colOff>1504037</xdr:colOff>
      <xdr:row>3</xdr:row>
      <xdr:rowOff>1066800</xdr:rowOff>
    </xdr:to>
    <xdr:pic>
      <xdr:nvPicPr>
        <xdr:cNvPr id="41" name="Picture 40" descr="Image result for legacy 450">
          <a:extLst>
            <a:ext uri="{FF2B5EF4-FFF2-40B4-BE49-F238E27FC236}">
              <a16:creationId xmlns:a16="http://schemas.microsoft.com/office/drawing/2014/main" id="{00000000-0008-0000-0000-00002900000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1280" t="11280" r="14939" b="14939"/>
        <a:stretch/>
      </xdr:blipFill>
      <xdr:spPr bwMode="auto">
        <a:xfrm>
          <a:off x="15470281" y="844667"/>
          <a:ext cx="1475462" cy="9841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47625</xdr:colOff>
      <xdr:row>3</xdr:row>
      <xdr:rowOff>56244</xdr:rowOff>
    </xdr:from>
    <xdr:to>
      <xdr:col>4</xdr:col>
      <xdr:colOff>1482481</xdr:colOff>
      <xdr:row>3</xdr:row>
      <xdr:rowOff>1047750</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054" r="17007"/>
        <a:stretch/>
      </xdr:blipFill>
      <xdr:spPr>
        <a:xfrm>
          <a:off x="4629150" y="818244"/>
          <a:ext cx="1434856" cy="991506"/>
        </a:xfrm>
        <a:prstGeom prst="rect">
          <a:avLst/>
        </a:prstGeom>
      </xdr:spPr>
    </xdr:pic>
    <xdr:clientData/>
  </xdr:twoCellAnchor>
  <xdr:twoCellAnchor>
    <xdr:from>
      <xdr:col>5</xdr:col>
      <xdr:colOff>38099</xdr:colOff>
      <xdr:row>3</xdr:row>
      <xdr:rowOff>58348</xdr:rowOff>
    </xdr:from>
    <xdr:to>
      <xdr:col>5</xdr:col>
      <xdr:colOff>1485900</xdr:colOff>
      <xdr:row>3</xdr:row>
      <xdr:rowOff>1076546</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252" r="11046"/>
        <a:stretch/>
      </xdr:blipFill>
      <xdr:spPr>
        <a:xfrm>
          <a:off x="6290981" y="820348"/>
          <a:ext cx="1447801" cy="1018198"/>
        </a:xfrm>
        <a:prstGeom prst="rect">
          <a:avLst/>
        </a:prstGeom>
      </xdr:spPr>
    </xdr:pic>
    <xdr:clientData/>
  </xdr:twoCellAnchor>
  <xdr:twoCellAnchor>
    <xdr:from>
      <xdr:col>6</xdr:col>
      <xdr:colOff>39781</xdr:colOff>
      <xdr:row>3</xdr:row>
      <xdr:rowOff>110453</xdr:rowOff>
    </xdr:from>
    <xdr:to>
      <xdr:col>6</xdr:col>
      <xdr:colOff>1506631</xdr:colOff>
      <xdr:row>3</xdr:row>
      <xdr:rowOff>1005638</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3277" r="6400"/>
        <a:stretch/>
      </xdr:blipFill>
      <xdr:spPr>
        <a:xfrm>
          <a:off x="7816663" y="872453"/>
          <a:ext cx="1466850" cy="895185"/>
        </a:xfrm>
        <a:prstGeom prst="rect">
          <a:avLst/>
        </a:prstGeom>
      </xdr:spPr>
    </xdr:pic>
    <xdr:clientData/>
  </xdr:twoCellAnchor>
  <xdr:twoCellAnchor editAs="oneCell">
    <xdr:from>
      <xdr:col>7</xdr:col>
      <xdr:colOff>28575</xdr:colOff>
      <xdr:row>3</xdr:row>
      <xdr:rowOff>55557</xdr:rowOff>
    </xdr:from>
    <xdr:to>
      <xdr:col>7</xdr:col>
      <xdr:colOff>1505523</xdr:colOff>
      <xdr:row>3</xdr:row>
      <xdr:rowOff>1084168</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rotWithShape="1">
        <a:blip xmlns:r="http://schemas.openxmlformats.org/officeDocument/2006/relationships" r:embed="rId5"/>
        <a:srcRect l="2799" t="2799" r="7337" b="7337"/>
        <a:stretch/>
      </xdr:blipFill>
      <xdr:spPr>
        <a:xfrm>
          <a:off x="9329457" y="817557"/>
          <a:ext cx="1476948" cy="1028611"/>
        </a:xfrm>
        <a:prstGeom prst="rect">
          <a:avLst/>
        </a:prstGeom>
      </xdr:spPr>
    </xdr:pic>
    <xdr:clientData/>
  </xdr:twoCellAnchor>
  <xdr:twoCellAnchor editAs="oneCell">
    <xdr:from>
      <xdr:col>8</xdr:col>
      <xdr:colOff>17369</xdr:colOff>
      <xdr:row>3</xdr:row>
      <xdr:rowOff>57152</xdr:rowOff>
    </xdr:from>
    <xdr:to>
      <xdr:col>8</xdr:col>
      <xdr:colOff>1503269</xdr:colOff>
      <xdr:row>3</xdr:row>
      <xdr:rowOff>1091999</xdr:rowOff>
    </xdr:to>
    <xdr:pic>
      <xdr:nvPicPr>
        <xdr:cNvPr id="20" name="Picture 19">
          <a:extLst>
            <a:ext uri="{FF2B5EF4-FFF2-40B4-BE49-F238E27FC236}">
              <a16:creationId xmlns:a16="http://schemas.microsoft.com/office/drawing/2014/main" id="{00000000-0008-0000-0000-000014000000}"/>
            </a:ext>
          </a:extLst>
        </xdr:cNvPr>
        <xdr:cNvPicPr>
          <a:picLocks noChangeAspect="1"/>
        </xdr:cNvPicPr>
      </xdr:nvPicPr>
      <xdr:blipFill rotWithShape="1">
        <a:blip xmlns:r="http://schemas.openxmlformats.org/officeDocument/2006/relationships" r:embed="rId6"/>
        <a:srcRect l="2067" t="2068" r="16118" b="16117"/>
        <a:stretch/>
      </xdr:blipFill>
      <xdr:spPr>
        <a:xfrm>
          <a:off x="10842251" y="819152"/>
          <a:ext cx="1485900" cy="1034847"/>
        </a:xfrm>
        <a:prstGeom prst="rect">
          <a:avLst/>
        </a:prstGeom>
      </xdr:spPr>
    </xdr:pic>
    <xdr:clientData/>
  </xdr:twoCellAnchor>
  <xdr:twoCellAnchor editAs="oneCell">
    <xdr:from>
      <xdr:col>9</xdr:col>
      <xdr:colOff>44824</xdr:colOff>
      <xdr:row>3</xdr:row>
      <xdr:rowOff>100853</xdr:rowOff>
    </xdr:from>
    <xdr:to>
      <xdr:col>9</xdr:col>
      <xdr:colOff>1501589</xdr:colOff>
      <xdr:row>3</xdr:row>
      <xdr:rowOff>1042144</xdr:rowOff>
    </xdr:to>
    <xdr:pic>
      <xdr:nvPicPr>
        <xdr:cNvPr id="22" name="Picture 21" descr="Image result for challenger 350">
          <a:extLst>
            <a:ext uri="{FF2B5EF4-FFF2-40B4-BE49-F238E27FC236}">
              <a16:creationId xmlns:a16="http://schemas.microsoft.com/office/drawing/2014/main" id="{00000000-0008-0000-0000-000016000000}"/>
            </a:ext>
          </a:extLst>
        </xdr:cNvPr>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5326" r="17748"/>
        <a:stretch/>
      </xdr:blipFill>
      <xdr:spPr bwMode="auto">
        <a:xfrm>
          <a:off x="13917706" y="862853"/>
          <a:ext cx="1456765" cy="9412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56029</xdr:colOff>
      <xdr:row>3</xdr:row>
      <xdr:rowOff>211366</xdr:rowOff>
    </xdr:from>
    <xdr:to>
      <xdr:col>10</xdr:col>
      <xdr:colOff>1490383</xdr:colOff>
      <xdr:row>3</xdr:row>
      <xdr:rowOff>1064559</xdr:rowOff>
    </xdr:to>
    <xdr:pic>
      <xdr:nvPicPr>
        <xdr:cNvPr id="31" name="Picture 30" descr="http://www.gulfstream.com/assets/images/_280/turntable/img-plane006.jpg">
          <a:extLst>
            <a:ext uri="{FF2B5EF4-FFF2-40B4-BE49-F238E27FC236}">
              <a16:creationId xmlns:a16="http://schemas.microsoft.com/office/drawing/2014/main" id="{00000000-0008-0000-0000-00001F000000}"/>
            </a:ext>
          </a:extLst>
        </xdr:cNvPr>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6456" t="16469" r="16020" b="22266"/>
        <a:stretch/>
      </xdr:blipFill>
      <xdr:spPr bwMode="auto">
        <a:xfrm>
          <a:off x="13928911" y="973366"/>
          <a:ext cx="1434354" cy="853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47390</xdr:colOff>
      <xdr:row>3</xdr:row>
      <xdr:rowOff>53959</xdr:rowOff>
    </xdr:from>
    <xdr:to>
      <xdr:col>13</xdr:col>
      <xdr:colOff>1503353</xdr:colOff>
      <xdr:row>3</xdr:row>
      <xdr:rowOff>1115317</xdr:rowOff>
    </xdr:to>
    <xdr:pic>
      <xdr:nvPicPr>
        <xdr:cNvPr id="37" name="Picture 36" descr="Image result for phenom 300">
          <a:extLst>
            <a:ext uri="{FF2B5EF4-FFF2-40B4-BE49-F238E27FC236}">
              <a16:creationId xmlns:a16="http://schemas.microsoft.com/office/drawing/2014/main" id="{00000000-0008-0000-0000-000025000000}"/>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6270" r="8740"/>
        <a:stretch/>
      </xdr:blipFill>
      <xdr:spPr bwMode="auto">
        <a:xfrm>
          <a:off x="18512752" y="625459"/>
          <a:ext cx="1455963" cy="1061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26276</xdr:colOff>
      <xdr:row>3</xdr:row>
      <xdr:rowOff>86556</xdr:rowOff>
    </xdr:from>
    <xdr:to>
      <xdr:col>12</xdr:col>
      <xdr:colOff>1506861</xdr:colOff>
      <xdr:row>3</xdr:row>
      <xdr:rowOff>1088633</xdr:rowOff>
    </xdr:to>
    <xdr:pic>
      <xdr:nvPicPr>
        <xdr:cNvPr id="40" name="Picture 39" descr="Image result for legacy 500">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flipH="1">
          <a:off x="16961069" y="658056"/>
          <a:ext cx="1480585" cy="10020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20853</xdr:colOff>
      <xdr:row>3</xdr:row>
      <xdr:rowOff>142338</xdr:rowOff>
    </xdr:from>
    <xdr:to>
      <xdr:col>14</xdr:col>
      <xdr:colOff>1516466</xdr:colOff>
      <xdr:row>3</xdr:row>
      <xdr:rowOff>980870</xdr:rowOff>
    </xdr:to>
    <xdr:pic>
      <xdr:nvPicPr>
        <xdr:cNvPr id="28" name="Picture 27" descr="Image result for cessna citation longitude">
          <a:extLst>
            <a:ext uri="{FF2B5EF4-FFF2-40B4-BE49-F238E27FC236}">
              <a16:creationId xmlns:a16="http://schemas.microsoft.com/office/drawing/2014/main" id="{00000000-0008-0000-0000-00001C000000}"/>
            </a:ext>
          </a:extLst>
        </xdr:cNvPr>
        <xdr:cNvPicPr>
          <a:picLocks noChangeAspect="1" noChangeArrowheads="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1335" r="10073"/>
        <a:stretch/>
      </xdr:blipFill>
      <xdr:spPr bwMode="auto">
        <a:xfrm>
          <a:off x="20016784" y="713838"/>
          <a:ext cx="1495613" cy="8385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A1:AG108"/>
  <sheetViews>
    <sheetView tabSelected="1" view="pageBreakPreview" topLeftCell="A25" zoomScale="85" zoomScaleNormal="85" zoomScaleSheetLayoutView="85" workbookViewId="0">
      <selection activeCell="J45" sqref="J45"/>
    </sheetView>
  </sheetViews>
  <sheetFormatPr baseColWidth="10" defaultColWidth="9.140625" defaultRowHeight="14.25" x14ac:dyDescent="0.25"/>
  <cols>
    <col min="1" max="1" width="21.28515625" style="6" customWidth="1"/>
    <col min="2" max="2" width="27.28515625" style="25" customWidth="1"/>
    <col min="3" max="3" width="13.28515625" style="10" customWidth="1"/>
    <col min="4" max="4" width="10" style="10" customWidth="1"/>
    <col min="5" max="5" width="23.5703125" style="10" customWidth="1"/>
    <col min="6" max="15" width="23.5703125" style="6" customWidth="1"/>
    <col min="16" max="29" width="9.140625" style="27"/>
    <col min="30" max="16384" width="9.140625" style="6"/>
  </cols>
  <sheetData>
    <row r="1" spans="1:33" x14ac:dyDescent="0.25">
      <c r="A1" s="4" t="s">
        <v>85</v>
      </c>
      <c r="B1" s="5" t="s">
        <v>88</v>
      </c>
      <c r="C1" s="4" t="s">
        <v>86</v>
      </c>
      <c r="D1" s="4" t="s">
        <v>87</v>
      </c>
      <c r="E1" s="4" t="s">
        <v>249</v>
      </c>
      <c r="F1" s="4" t="s">
        <v>250</v>
      </c>
      <c r="G1" s="4" t="s">
        <v>251</v>
      </c>
      <c r="H1" s="4" t="s">
        <v>252</v>
      </c>
      <c r="I1" s="4" t="s">
        <v>253</v>
      </c>
      <c r="J1" s="4" t="s">
        <v>254</v>
      </c>
      <c r="K1" s="4" t="s">
        <v>255</v>
      </c>
      <c r="L1" s="4" t="s">
        <v>256</v>
      </c>
      <c r="M1" s="4" t="s">
        <v>257</v>
      </c>
      <c r="N1" s="4" t="s">
        <v>258</v>
      </c>
      <c r="O1" s="4" t="s">
        <v>259</v>
      </c>
    </row>
    <row r="2" spans="1:33" x14ac:dyDescent="0.25">
      <c r="A2" s="31" t="s">
        <v>22</v>
      </c>
      <c r="B2" s="7" t="s">
        <v>0</v>
      </c>
      <c r="C2" s="8" t="s">
        <v>28</v>
      </c>
      <c r="D2" s="8" t="s">
        <v>28</v>
      </c>
      <c r="E2" s="32" t="s">
        <v>110</v>
      </c>
      <c r="F2" s="33" t="s">
        <v>115</v>
      </c>
      <c r="G2" s="33" t="s">
        <v>116</v>
      </c>
      <c r="H2" s="33" t="s">
        <v>109</v>
      </c>
      <c r="I2" s="33" t="s">
        <v>108</v>
      </c>
      <c r="J2" s="33" t="s">
        <v>152</v>
      </c>
      <c r="K2" s="33" t="s">
        <v>107</v>
      </c>
      <c r="L2" s="33" t="s">
        <v>112</v>
      </c>
      <c r="M2" s="33" t="s">
        <v>169</v>
      </c>
      <c r="N2" s="33" t="s">
        <v>114</v>
      </c>
      <c r="O2" s="33" t="s">
        <v>170</v>
      </c>
    </row>
    <row r="3" spans="1:33" ht="15" customHeight="1" x14ac:dyDescent="0.25">
      <c r="A3" s="31"/>
      <c r="B3" s="11" t="s">
        <v>1</v>
      </c>
      <c r="C3" s="8" t="s">
        <v>28</v>
      </c>
      <c r="D3" s="8" t="s">
        <v>28</v>
      </c>
      <c r="E3" s="32" t="s">
        <v>29</v>
      </c>
      <c r="F3" s="33" t="s">
        <v>29</v>
      </c>
      <c r="G3" s="33" t="s">
        <v>29</v>
      </c>
      <c r="H3" s="33" t="s">
        <v>80</v>
      </c>
      <c r="I3" s="33" t="s">
        <v>80</v>
      </c>
      <c r="J3" s="33" t="s">
        <v>80</v>
      </c>
      <c r="K3" s="33" t="s">
        <v>106</v>
      </c>
      <c r="L3" s="33" t="s">
        <v>111</v>
      </c>
      <c r="M3" s="33" t="s">
        <v>111</v>
      </c>
      <c r="N3" s="33" t="s">
        <v>111</v>
      </c>
      <c r="O3" s="33" t="s">
        <v>113</v>
      </c>
    </row>
    <row r="4" spans="1:33" ht="90" customHeight="1" x14ac:dyDescent="0.25">
      <c r="A4" s="31"/>
      <c r="B4" s="11" t="s">
        <v>100</v>
      </c>
      <c r="C4" s="8" t="s">
        <v>28</v>
      </c>
      <c r="D4" s="8" t="s">
        <v>28</v>
      </c>
      <c r="E4" s="9"/>
      <c r="F4" s="10"/>
      <c r="G4" s="10"/>
      <c r="H4" s="10"/>
      <c r="I4" s="10"/>
      <c r="J4" s="10"/>
      <c r="K4" s="10"/>
      <c r="M4" s="10"/>
    </row>
    <row r="5" spans="1:33" x14ac:dyDescent="0.25">
      <c r="A5" s="31"/>
      <c r="B5" s="11" t="s">
        <v>2</v>
      </c>
      <c r="C5" s="8" t="s">
        <v>28</v>
      </c>
      <c r="D5" s="8" t="s">
        <v>28</v>
      </c>
      <c r="E5" s="12">
        <v>38477</v>
      </c>
      <c r="F5" s="13">
        <v>40366</v>
      </c>
      <c r="G5" s="13">
        <v>41640</v>
      </c>
      <c r="H5" s="13">
        <v>35351</v>
      </c>
      <c r="I5" s="13">
        <v>37687</v>
      </c>
      <c r="J5" s="13">
        <v>41883</v>
      </c>
      <c r="K5" s="13">
        <v>40746</v>
      </c>
      <c r="L5" s="13">
        <v>42141</v>
      </c>
      <c r="M5" s="13">
        <v>41922</v>
      </c>
      <c r="N5" s="13">
        <v>42343</v>
      </c>
      <c r="O5" s="13">
        <v>41816</v>
      </c>
    </row>
    <row r="6" spans="1:33" x14ac:dyDescent="0.25">
      <c r="A6" s="31"/>
      <c r="B6" s="11" t="s">
        <v>3</v>
      </c>
      <c r="C6" s="8" t="s">
        <v>182</v>
      </c>
      <c r="D6" s="8" t="s">
        <v>89</v>
      </c>
      <c r="E6" s="14">
        <v>7.83</v>
      </c>
      <c r="F6" s="15">
        <v>7.55</v>
      </c>
      <c r="G6" s="15">
        <v>7.06</v>
      </c>
      <c r="H6" s="15">
        <v>7.8</v>
      </c>
      <c r="I6" s="15">
        <v>7.8</v>
      </c>
      <c r="J6" s="15">
        <v>6.2</v>
      </c>
      <c r="K6" s="15">
        <v>6.5</v>
      </c>
      <c r="L6" s="15">
        <v>6.43</v>
      </c>
      <c r="M6" s="15">
        <v>6.44</v>
      </c>
      <c r="N6" s="15">
        <v>5.0999999999999996</v>
      </c>
      <c r="O6" s="15">
        <v>5.86</v>
      </c>
    </row>
    <row r="7" spans="1:33" x14ac:dyDescent="0.25">
      <c r="A7" s="31"/>
      <c r="B7" s="11" t="s">
        <v>4</v>
      </c>
      <c r="C7" s="8" t="s">
        <v>183</v>
      </c>
      <c r="D7" s="8" t="s">
        <v>89</v>
      </c>
      <c r="E7" s="14">
        <v>23.19</v>
      </c>
      <c r="F7" s="15">
        <v>20.23</v>
      </c>
      <c r="G7" s="15">
        <v>20.23</v>
      </c>
      <c r="H7" s="15">
        <v>30.3</v>
      </c>
      <c r="I7" s="15">
        <v>29.5</v>
      </c>
      <c r="J7" s="15">
        <v>20.92</v>
      </c>
      <c r="K7" s="15">
        <v>20.37</v>
      </c>
      <c r="L7" s="15">
        <v>19.68</v>
      </c>
      <c r="M7" s="15">
        <v>20.74</v>
      </c>
      <c r="N7" s="15">
        <v>15.64</v>
      </c>
      <c r="O7" s="15">
        <v>22.43</v>
      </c>
    </row>
    <row r="8" spans="1:33" x14ac:dyDescent="0.25">
      <c r="A8" s="31"/>
      <c r="B8" s="11" t="s">
        <v>5</v>
      </c>
      <c r="C8" s="8" t="s">
        <v>184</v>
      </c>
      <c r="D8" s="8" t="s">
        <v>89</v>
      </c>
      <c r="E8" s="14">
        <v>26.21</v>
      </c>
      <c r="F8" s="15">
        <v>21.38</v>
      </c>
      <c r="G8" s="15">
        <v>21.38</v>
      </c>
      <c r="H8" s="15">
        <v>28.7</v>
      </c>
      <c r="I8" s="15">
        <v>28.7</v>
      </c>
      <c r="J8" s="15">
        <v>21</v>
      </c>
      <c r="K8" s="15">
        <v>19.2</v>
      </c>
      <c r="L8" s="15">
        <v>20.25</v>
      </c>
      <c r="M8" s="15">
        <v>20.25</v>
      </c>
      <c r="N8" s="15">
        <v>15.91</v>
      </c>
      <c r="O8" s="15">
        <v>21.09</v>
      </c>
      <c r="AD8" s="27"/>
      <c r="AE8" s="27"/>
      <c r="AF8" s="27"/>
      <c r="AG8" s="27"/>
    </row>
    <row r="9" spans="1:33" s="26" customFormat="1" ht="3" customHeight="1" x14ac:dyDescent="0.25">
      <c r="P9" s="28"/>
      <c r="Q9" s="28"/>
      <c r="R9" s="28"/>
      <c r="S9" s="28"/>
      <c r="T9" s="28"/>
      <c r="U9" s="28"/>
      <c r="V9" s="28"/>
      <c r="W9" s="28"/>
      <c r="X9" s="28"/>
      <c r="Y9" s="28"/>
      <c r="Z9" s="28"/>
      <c r="AA9" s="28"/>
      <c r="AB9" s="28"/>
      <c r="AC9" s="28"/>
      <c r="AD9" s="28"/>
      <c r="AE9" s="28"/>
      <c r="AF9" s="28"/>
      <c r="AG9" s="28"/>
    </row>
    <row r="10" spans="1:33" ht="18" customHeight="1" x14ac:dyDescent="0.25">
      <c r="A10" s="30" t="s">
        <v>23</v>
      </c>
      <c r="B10" s="16" t="s">
        <v>6</v>
      </c>
      <c r="C10" s="17" t="s">
        <v>185</v>
      </c>
      <c r="D10" s="17" t="s">
        <v>28</v>
      </c>
      <c r="E10" s="10">
        <v>3</v>
      </c>
      <c r="F10" s="10">
        <v>3</v>
      </c>
      <c r="G10" s="10">
        <v>2</v>
      </c>
      <c r="H10" s="10">
        <v>2</v>
      </c>
      <c r="I10" s="10">
        <v>2</v>
      </c>
      <c r="J10" s="10">
        <v>2</v>
      </c>
      <c r="K10" s="10">
        <v>2</v>
      </c>
      <c r="L10" s="10">
        <v>2</v>
      </c>
      <c r="M10" s="10">
        <v>2</v>
      </c>
      <c r="N10" s="10">
        <v>2</v>
      </c>
      <c r="O10" s="10">
        <v>2</v>
      </c>
      <c r="AD10" s="27"/>
      <c r="AE10" s="27"/>
      <c r="AF10" s="27"/>
      <c r="AG10" s="27"/>
    </row>
    <row r="11" spans="1:33" x14ac:dyDescent="0.25">
      <c r="A11" s="30"/>
      <c r="B11" s="16" t="s">
        <v>7</v>
      </c>
      <c r="C11" s="17" t="s">
        <v>28</v>
      </c>
      <c r="D11" s="17" t="s">
        <v>28</v>
      </c>
      <c r="E11" s="10" t="s">
        <v>81</v>
      </c>
      <c r="F11" s="10" t="s">
        <v>81</v>
      </c>
      <c r="G11" s="10" t="s">
        <v>81</v>
      </c>
      <c r="H11" s="10" t="s">
        <v>81</v>
      </c>
      <c r="I11" s="10" t="s">
        <v>81</v>
      </c>
      <c r="J11" s="10" t="s">
        <v>81</v>
      </c>
      <c r="K11" s="10" t="s">
        <v>81</v>
      </c>
      <c r="L11" s="10" t="s">
        <v>81</v>
      </c>
      <c r="M11" s="10" t="s">
        <v>81</v>
      </c>
      <c r="N11" s="10" t="s">
        <v>81</v>
      </c>
      <c r="O11" s="10" t="s">
        <v>81</v>
      </c>
    </row>
    <row r="12" spans="1:33" x14ac:dyDescent="0.25">
      <c r="A12" s="30"/>
      <c r="B12" s="16" t="s">
        <v>8</v>
      </c>
      <c r="C12" s="17" t="s">
        <v>28</v>
      </c>
      <c r="D12" s="17" t="s">
        <v>28</v>
      </c>
      <c r="E12" s="10" t="s">
        <v>84</v>
      </c>
      <c r="F12" s="10" t="s">
        <v>84</v>
      </c>
      <c r="G12" s="10" t="s">
        <v>84</v>
      </c>
      <c r="H12" s="10" t="s">
        <v>84</v>
      </c>
      <c r="I12" s="10" t="s">
        <v>84</v>
      </c>
      <c r="J12" s="10" t="s">
        <v>84</v>
      </c>
      <c r="K12" s="10" t="s">
        <v>84</v>
      </c>
      <c r="L12" s="10" t="s">
        <v>84</v>
      </c>
      <c r="M12" s="10" t="s">
        <v>84</v>
      </c>
      <c r="N12" s="10" t="s">
        <v>84</v>
      </c>
      <c r="O12" s="10" t="s">
        <v>84</v>
      </c>
    </row>
    <row r="13" spans="1:33" x14ac:dyDescent="0.25">
      <c r="A13" s="30"/>
      <c r="B13" s="16" t="s">
        <v>1</v>
      </c>
      <c r="C13" s="17" t="s">
        <v>28</v>
      </c>
      <c r="D13" s="17" t="s">
        <v>28</v>
      </c>
      <c r="E13" s="10" t="s">
        <v>82</v>
      </c>
      <c r="F13" s="10" t="s">
        <v>117</v>
      </c>
      <c r="G13" s="10" t="s">
        <v>82</v>
      </c>
      <c r="H13" s="10" t="s">
        <v>136</v>
      </c>
      <c r="I13" s="10" t="s">
        <v>136</v>
      </c>
      <c r="J13" s="10" t="s">
        <v>117</v>
      </c>
      <c r="K13" s="10" t="s">
        <v>117</v>
      </c>
      <c r="L13" s="10" t="s">
        <v>117</v>
      </c>
      <c r="M13" s="10" t="s">
        <v>117</v>
      </c>
      <c r="N13" s="10" t="s">
        <v>82</v>
      </c>
      <c r="O13" s="10" t="s">
        <v>136</v>
      </c>
    </row>
    <row r="14" spans="1:33" x14ac:dyDescent="0.25">
      <c r="A14" s="30"/>
      <c r="B14" s="16" t="s">
        <v>9</v>
      </c>
      <c r="C14" s="17" t="s">
        <v>28</v>
      </c>
      <c r="D14" s="17" t="s">
        <v>28</v>
      </c>
      <c r="E14" s="10" t="s">
        <v>83</v>
      </c>
      <c r="F14" s="10" t="s">
        <v>118</v>
      </c>
      <c r="G14" s="10" t="s">
        <v>119</v>
      </c>
      <c r="H14" s="10" t="s">
        <v>137</v>
      </c>
      <c r="I14" s="10" t="s">
        <v>137</v>
      </c>
      <c r="J14" s="10" t="s">
        <v>153</v>
      </c>
      <c r="K14" s="10" t="s">
        <v>180</v>
      </c>
      <c r="L14" s="10" t="s">
        <v>160</v>
      </c>
      <c r="M14" s="10" t="s">
        <v>160</v>
      </c>
      <c r="N14" s="10" t="s">
        <v>159</v>
      </c>
      <c r="O14" s="10" t="s">
        <v>171</v>
      </c>
    </row>
    <row r="15" spans="1:33" x14ac:dyDescent="0.25">
      <c r="A15" s="30"/>
      <c r="B15" s="16" t="s">
        <v>10</v>
      </c>
      <c r="C15" s="17" t="s">
        <v>186</v>
      </c>
      <c r="D15" s="17" t="s">
        <v>90</v>
      </c>
      <c r="E15" s="10">
        <v>551</v>
      </c>
      <c r="F15" s="10">
        <v>450.42</v>
      </c>
      <c r="G15" s="10">
        <v>623.5</v>
      </c>
      <c r="H15" s="10">
        <v>1633</v>
      </c>
      <c r="I15" s="10">
        <v>1633</v>
      </c>
      <c r="J15" s="10">
        <v>618.70000000000005</v>
      </c>
      <c r="K15" s="10">
        <v>618.70000000000005</v>
      </c>
      <c r="L15" s="10">
        <v>618.70000000000005</v>
      </c>
      <c r="M15" s="10">
        <v>618.70000000000005</v>
      </c>
      <c r="N15" s="10">
        <v>317</v>
      </c>
      <c r="O15" s="10">
        <v>717.1</v>
      </c>
    </row>
    <row r="16" spans="1:33" x14ac:dyDescent="0.25">
      <c r="A16" s="30"/>
      <c r="B16" s="16" t="s">
        <v>97</v>
      </c>
      <c r="C16" s="17" t="s">
        <v>187</v>
      </c>
      <c r="D16" s="17" t="s">
        <v>93</v>
      </c>
      <c r="E16" s="15">
        <v>28.478000000000002</v>
      </c>
      <c r="F16" s="15">
        <v>22.24</v>
      </c>
      <c r="G16" s="15">
        <v>31.13</v>
      </c>
      <c r="H16" s="15">
        <v>65.599999999999994</v>
      </c>
      <c r="I16" s="15">
        <v>65.599999999999994</v>
      </c>
      <c r="J16" s="15">
        <v>32.57</v>
      </c>
      <c r="K16" s="15">
        <v>33.9</v>
      </c>
      <c r="L16" s="15">
        <v>29.1</v>
      </c>
      <c r="M16" s="15">
        <v>31.3</v>
      </c>
      <c r="N16" s="15">
        <v>14.946</v>
      </c>
      <c r="O16" s="15">
        <v>31.29</v>
      </c>
    </row>
    <row r="17" spans="1:29" x14ac:dyDescent="0.25">
      <c r="A17" s="30"/>
      <c r="B17" s="16" t="s">
        <v>101</v>
      </c>
      <c r="C17" s="17" t="s">
        <v>120</v>
      </c>
      <c r="D17" s="17" t="s">
        <v>127</v>
      </c>
      <c r="E17" s="18">
        <v>0.67900000000000005</v>
      </c>
      <c r="F17" s="18">
        <v>0.66300000000000003</v>
      </c>
      <c r="G17" s="18">
        <v>0.68</v>
      </c>
      <c r="H17" s="18">
        <v>0.63</v>
      </c>
      <c r="I17" s="18">
        <v>0.63</v>
      </c>
      <c r="J17" s="18">
        <v>0.68400000000000005</v>
      </c>
      <c r="K17" s="18">
        <v>0.68400000000000005</v>
      </c>
      <c r="L17" s="18">
        <v>0.68400000000000005</v>
      </c>
      <c r="M17" s="18">
        <v>0.68400000000000005</v>
      </c>
      <c r="N17" s="18" t="s">
        <v>181</v>
      </c>
      <c r="O17" s="18">
        <v>0.625</v>
      </c>
    </row>
    <row r="18" spans="1:29" ht="28.5" x14ac:dyDescent="0.25">
      <c r="A18" s="30"/>
      <c r="B18" s="16" t="s">
        <v>179</v>
      </c>
      <c r="C18" s="17" t="s">
        <v>188</v>
      </c>
      <c r="D18" s="17" t="s">
        <v>127</v>
      </c>
      <c r="E18" s="15">
        <v>0.39400000000000002</v>
      </c>
      <c r="F18" s="15">
        <v>0.40500000000000003</v>
      </c>
      <c r="G18" s="15" t="s">
        <v>181</v>
      </c>
      <c r="H18" s="15" t="s">
        <v>181</v>
      </c>
      <c r="I18" s="15" t="s">
        <v>181</v>
      </c>
      <c r="J18" s="15">
        <v>0.42</v>
      </c>
      <c r="K18" s="15">
        <v>0.42</v>
      </c>
      <c r="L18" s="15">
        <v>0.42</v>
      </c>
      <c r="M18" s="15">
        <v>0.42</v>
      </c>
      <c r="N18" s="15">
        <v>0.45500000000000002</v>
      </c>
      <c r="O18" s="15">
        <v>0.33</v>
      </c>
    </row>
    <row r="19" spans="1:29" x14ac:dyDescent="0.25">
      <c r="A19" s="30"/>
      <c r="B19" s="16" t="s">
        <v>91</v>
      </c>
      <c r="C19" s="17" t="s">
        <v>189</v>
      </c>
      <c r="D19" s="17" t="s">
        <v>89</v>
      </c>
      <c r="E19" s="15">
        <v>1.17</v>
      </c>
      <c r="F19" s="15">
        <v>1.077</v>
      </c>
      <c r="G19" s="15">
        <v>1.2989999999999999</v>
      </c>
      <c r="H19" s="15">
        <v>1.57</v>
      </c>
      <c r="I19" s="15">
        <v>1.5720000000000001</v>
      </c>
      <c r="J19" s="15">
        <v>1.1759999999999999</v>
      </c>
      <c r="K19" s="15">
        <v>1.1759999999999999</v>
      </c>
      <c r="L19" s="15">
        <v>1.1759999999999999</v>
      </c>
      <c r="M19" s="15">
        <v>1.1759999999999999</v>
      </c>
      <c r="N19" s="15">
        <v>0.73699999999999999</v>
      </c>
      <c r="O19" s="15">
        <v>1.105</v>
      </c>
    </row>
    <row r="20" spans="1:29" x14ac:dyDescent="0.25">
      <c r="A20" s="30"/>
      <c r="B20" s="16" t="s">
        <v>92</v>
      </c>
      <c r="C20" s="17" t="s">
        <v>190</v>
      </c>
      <c r="D20" s="17" t="s">
        <v>89</v>
      </c>
      <c r="E20" s="15">
        <v>2.1850000000000001</v>
      </c>
      <c r="F20" s="15">
        <v>2.0830000000000002</v>
      </c>
      <c r="G20" s="15">
        <v>2.1840000000000002</v>
      </c>
      <c r="H20" s="15">
        <v>3.41</v>
      </c>
      <c r="I20" s="15">
        <v>3.4089999999999998</v>
      </c>
      <c r="J20" s="15">
        <v>2.347</v>
      </c>
      <c r="K20" s="15">
        <v>2.347</v>
      </c>
      <c r="L20" s="15">
        <v>2.347</v>
      </c>
      <c r="M20" s="15">
        <v>2.347</v>
      </c>
      <c r="N20" s="15">
        <v>1.6459999999999999</v>
      </c>
      <c r="O20" s="15">
        <v>2.923</v>
      </c>
    </row>
    <row r="21" spans="1:29" ht="18" customHeight="1" x14ac:dyDescent="0.25">
      <c r="A21" s="30"/>
      <c r="B21" s="16" t="s">
        <v>102</v>
      </c>
      <c r="C21" s="17" t="s">
        <v>191</v>
      </c>
      <c r="D21" s="17" t="s">
        <v>93</v>
      </c>
      <c r="E21" s="15">
        <f t="shared" ref="E21:O21" si="0">E10*E16</f>
        <v>85.433999999999997</v>
      </c>
      <c r="F21" s="15">
        <f t="shared" si="0"/>
        <v>66.72</v>
      </c>
      <c r="G21" s="15">
        <f t="shared" si="0"/>
        <v>62.26</v>
      </c>
      <c r="H21" s="15">
        <f t="shared" si="0"/>
        <v>131.19999999999999</v>
      </c>
      <c r="I21" s="15">
        <f t="shared" si="0"/>
        <v>131.19999999999999</v>
      </c>
      <c r="J21" s="15">
        <f t="shared" si="0"/>
        <v>65.14</v>
      </c>
      <c r="K21" s="15">
        <f t="shared" si="0"/>
        <v>67.8</v>
      </c>
      <c r="L21" s="15">
        <f t="shared" si="0"/>
        <v>58.2</v>
      </c>
      <c r="M21" s="15">
        <f t="shared" si="0"/>
        <v>62.6</v>
      </c>
      <c r="N21" s="15">
        <f t="shared" si="0"/>
        <v>29.891999999999999</v>
      </c>
      <c r="O21" s="15">
        <f t="shared" si="0"/>
        <v>62.58</v>
      </c>
    </row>
    <row r="22" spans="1:29" s="26" customFormat="1" ht="3" customHeight="1" x14ac:dyDescent="0.25">
      <c r="P22" s="28"/>
      <c r="Q22" s="28"/>
      <c r="R22" s="28"/>
      <c r="S22" s="28"/>
      <c r="T22" s="28"/>
      <c r="U22" s="28"/>
      <c r="V22" s="28"/>
      <c r="W22" s="28"/>
      <c r="X22" s="28"/>
      <c r="Y22" s="28"/>
      <c r="Z22" s="28"/>
      <c r="AA22" s="28"/>
      <c r="AB22" s="28"/>
      <c r="AC22" s="28"/>
    </row>
    <row r="23" spans="1:29" ht="18" customHeight="1" x14ac:dyDescent="0.25">
      <c r="A23" s="30" t="s">
        <v>24</v>
      </c>
      <c r="B23" s="16" t="s">
        <v>36</v>
      </c>
      <c r="C23" s="17" t="s">
        <v>35</v>
      </c>
      <c r="D23" s="17" t="s">
        <v>90</v>
      </c>
      <c r="E23" s="19">
        <v>31752</v>
      </c>
      <c r="F23" s="20">
        <v>22225</v>
      </c>
      <c r="G23" s="19">
        <v>19414</v>
      </c>
      <c r="H23" s="19">
        <v>45130</v>
      </c>
      <c r="I23" s="19">
        <v>41957</v>
      </c>
      <c r="J23" s="19">
        <v>18416</v>
      </c>
      <c r="K23" s="19">
        <v>17962</v>
      </c>
      <c r="L23" s="19">
        <v>16220</v>
      </c>
      <c r="M23" s="19">
        <v>17400</v>
      </c>
      <c r="N23" s="19">
        <v>8340</v>
      </c>
      <c r="O23" s="19">
        <v>16738</v>
      </c>
    </row>
    <row r="24" spans="1:29" ht="18" customHeight="1" x14ac:dyDescent="0.25">
      <c r="A24" s="30"/>
      <c r="B24" s="16" t="s">
        <v>132</v>
      </c>
      <c r="C24" s="17" t="s">
        <v>133</v>
      </c>
      <c r="D24" s="17" t="s">
        <v>90</v>
      </c>
      <c r="E24" s="19">
        <v>32659</v>
      </c>
      <c r="F24" s="20">
        <v>22317</v>
      </c>
      <c r="G24" s="19">
        <v>19505</v>
      </c>
      <c r="H24" s="19">
        <v>45245</v>
      </c>
      <c r="I24" s="19">
        <v>42071</v>
      </c>
      <c r="J24" s="19">
        <v>18484</v>
      </c>
      <c r="K24" s="19">
        <v>18030</v>
      </c>
      <c r="L24" s="19">
        <v>16279.88</v>
      </c>
      <c r="M24" s="19">
        <v>17480.099999999999</v>
      </c>
      <c r="N24" s="19">
        <v>8390</v>
      </c>
      <c r="O24" s="19">
        <v>16601</v>
      </c>
    </row>
    <row r="25" spans="1:29" ht="18" customHeight="1" x14ac:dyDescent="0.25">
      <c r="A25" s="30"/>
      <c r="B25" s="16" t="s">
        <v>148</v>
      </c>
      <c r="C25" s="17" t="s">
        <v>146</v>
      </c>
      <c r="D25" s="17" t="s">
        <v>90</v>
      </c>
      <c r="E25" s="19">
        <v>16602</v>
      </c>
      <c r="F25" s="20">
        <v>10829</v>
      </c>
      <c r="G25" s="19">
        <v>10142</v>
      </c>
      <c r="H25" s="19">
        <v>22435</v>
      </c>
      <c r="I25" s="19">
        <f>I26-I39*CONVERT(Constants!$C$4,"lbm","kg")</f>
        <v>22879.563052000001</v>
      </c>
      <c r="J25" s="19">
        <f>J26-J39*CONVERT(Constants!$C$4,"lbm","kg")</f>
        <v>11067.563052</v>
      </c>
      <c r="K25" s="19">
        <f>K26-K39*CONVERT(Constants!$C$4,"lbm","kg")</f>
        <v>10763.563052</v>
      </c>
      <c r="L25" s="19">
        <f>L26-L39*CONVERT(Constants!$C$4,"lbm","kg")</f>
        <v>10243.563052</v>
      </c>
      <c r="M25" s="19">
        <f>M26-M39*CONVERT(Constants!$C$4,"lbm","kg")</f>
        <v>10568.563052</v>
      </c>
      <c r="N25" s="19">
        <f>N26-N39*CONVERT(Constants!$C$4,"lbm","kg")</f>
        <v>5072.5630520000004</v>
      </c>
      <c r="O25" s="19">
        <f>O26-O39*CONVERT(Constants!$C$4,"lbm","kg")</f>
        <v>9849.5630519999995</v>
      </c>
    </row>
    <row r="26" spans="1:29" ht="18" customHeight="1" x14ac:dyDescent="0.25">
      <c r="A26" s="30"/>
      <c r="B26" s="16" t="s">
        <v>37</v>
      </c>
      <c r="C26" s="17" t="s">
        <v>38</v>
      </c>
      <c r="D26" s="17" t="s">
        <v>90</v>
      </c>
      <c r="E26" s="19">
        <v>15542</v>
      </c>
      <c r="F26" s="20">
        <v>11709</v>
      </c>
      <c r="G26" s="19">
        <v>10644</v>
      </c>
      <c r="H26" s="19">
        <v>23691</v>
      </c>
      <c r="I26" s="19">
        <v>23061</v>
      </c>
      <c r="J26" s="19">
        <v>11249</v>
      </c>
      <c r="K26" s="19">
        <v>10945</v>
      </c>
      <c r="L26" s="19">
        <v>10425</v>
      </c>
      <c r="M26" s="19">
        <v>10750</v>
      </c>
      <c r="N26" s="19">
        <v>5254</v>
      </c>
      <c r="O26" s="19">
        <v>10031</v>
      </c>
    </row>
    <row r="27" spans="1:29" x14ac:dyDescent="0.25">
      <c r="A27" s="30"/>
      <c r="B27" s="16" t="s">
        <v>147</v>
      </c>
      <c r="C27" s="17" t="s">
        <v>145</v>
      </c>
      <c r="D27" s="17" t="s">
        <v>90</v>
      </c>
      <c r="E27" s="19">
        <v>16602</v>
      </c>
      <c r="F27" s="20">
        <v>12134</v>
      </c>
      <c r="G27" s="19">
        <v>11227</v>
      </c>
      <c r="H27" s="19">
        <v>23841</v>
      </c>
      <c r="I27" s="19">
        <v>23070</v>
      </c>
      <c r="J27" s="19">
        <v>11249</v>
      </c>
      <c r="K27" s="19">
        <v>10954</v>
      </c>
      <c r="L27" s="19">
        <v>10425</v>
      </c>
      <c r="M27" s="19">
        <v>10750</v>
      </c>
      <c r="N27" s="19">
        <v>5254</v>
      </c>
      <c r="O27" s="19">
        <v>10031</v>
      </c>
    </row>
    <row r="28" spans="1:29" x14ac:dyDescent="0.25">
      <c r="A28" s="30"/>
      <c r="B28" s="16" t="s">
        <v>43</v>
      </c>
      <c r="C28" s="17" t="s">
        <v>39</v>
      </c>
      <c r="D28" s="17" t="s">
        <v>90</v>
      </c>
      <c r="E28" s="19">
        <v>1996</v>
      </c>
      <c r="F28" s="20">
        <v>2796</v>
      </c>
      <c r="G28" s="19">
        <v>2245</v>
      </c>
      <c r="H28" s="19">
        <v>2617</v>
      </c>
      <c r="I28" s="19">
        <v>3238</v>
      </c>
      <c r="J28" s="19">
        <v>1542</v>
      </c>
      <c r="K28" s="19">
        <v>1837</v>
      </c>
      <c r="L28" s="19">
        <v>1325</v>
      </c>
      <c r="M28" s="19">
        <v>1270</v>
      </c>
      <c r="N28" s="19">
        <v>1196</v>
      </c>
      <c r="O28" s="19">
        <v>1299</v>
      </c>
    </row>
    <row r="29" spans="1:29" x14ac:dyDescent="0.25">
      <c r="A29" s="30"/>
      <c r="B29" s="16" t="s">
        <v>42</v>
      </c>
      <c r="C29" s="17" t="s">
        <v>41</v>
      </c>
      <c r="D29" s="17" t="s">
        <v>90</v>
      </c>
      <c r="E29" s="19">
        <v>14488</v>
      </c>
      <c r="F29" s="20">
        <v>9446</v>
      </c>
      <c r="G29" s="19">
        <v>7557</v>
      </c>
      <c r="H29" s="19">
        <v>20434</v>
      </c>
      <c r="I29" s="19">
        <v>17804</v>
      </c>
      <c r="J29" s="19">
        <v>6418</v>
      </c>
      <c r="K29" s="19">
        <v>6622</v>
      </c>
      <c r="L29" s="19">
        <v>5492</v>
      </c>
      <c r="M29" s="19">
        <v>5923</v>
      </c>
      <c r="N29" s="19">
        <v>2428</v>
      </c>
      <c r="O29" s="19">
        <v>5865</v>
      </c>
    </row>
    <row r="30" spans="1:29" x14ac:dyDescent="0.25">
      <c r="A30" s="30"/>
      <c r="B30" s="16" t="s">
        <v>134</v>
      </c>
      <c r="C30" s="17" t="s">
        <v>135</v>
      </c>
      <c r="D30" s="17" t="s">
        <v>90</v>
      </c>
      <c r="E30" s="19">
        <v>15241</v>
      </c>
      <c r="F30" s="20">
        <v>10183</v>
      </c>
      <c r="G30" s="19">
        <v>8278</v>
      </c>
      <c r="H30" s="19">
        <v>21405</v>
      </c>
      <c r="I30" s="19">
        <v>19000</v>
      </c>
      <c r="J30" s="19">
        <v>7234</v>
      </c>
      <c r="K30" s="19">
        <f>6622+454</f>
        <v>7076</v>
      </c>
      <c r="L30" s="19">
        <v>5855</v>
      </c>
      <c r="M30" s="19">
        <v>6730</v>
      </c>
      <c r="N30" s="19">
        <v>3136</v>
      </c>
      <c r="O30" s="19">
        <v>6707</v>
      </c>
    </row>
    <row r="31" spans="1:29" x14ac:dyDescent="0.25">
      <c r="A31" s="30"/>
      <c r="B31" s="16" t="s">
        <v>96</v>
      </c>
      <c r="C31" s="17" t="s">
        <v>103</v>
      </c>
      <c r="D31" s="17" t="s">
        <v>90</v>
      </c>
      <c r="E31" s="19">
        <v>18598</v>
      </c>
      <c r="F31" s="20">
        <v>14000</v>
      </c>
      <c r="G31" s="19">
        <v>13472</v>
      </c>
      <c r="H31" s="19">
        <v>26308</v>
      </c>
      <c r="I31" s="19">
        <v>26308</v>
      </c>
      <c r="J31" s="19">
        <v>12791</v>
      </c>
      <c r="K31" s="19">
        <v>12791</v>
      </c>
      <c r="L31" s="19">
        <v>11750</v>
      </c>
      <c r="M31" s="19">
        <v>12020</v>
      </c>
      <c r="N31" s="19">
        <v>6450</v>
      </c>
      <c r="O31" s="10">
        <v>11330</v>
      </c>
    </row>
    <row r="32" spans="1:29" x14ac:dyDescent="0.25">
      <c r="A32" s="30"/>
      <c r="B32" s="16" t="s">
        <v>94</v>
      </c>
      <c r="C32" s="17" t="s">
        <v>95</v>
      </c>
      <c r="D32" s="17" t="s">
        <v>90</v>
      </c>
      <c r="E32" s="19">
        <v>28304</v>
      </c>
      <c r="F32" s="20">
        <v>20185</v>
      </c>
      <c r="G32" s="19">
        <v>17827</v>
      </c>
      <c r="H32" s="19">
        <v>35652</v>
      </c>
      <c r="I32" s="19">
        <v>35652</v>
      </c>
      <c r="J32" s="19">
        <v>15490</v>
      </c>
      <c r="K32" s="19">
        <v>14832</v>
      </c>
      <c r="L32" s="19">
        <v>14750</v>
      </c>
      <c r="M32" s="19">
        <v>15660</v>
      </c>
      <c r="N32" s="19">
        <v>7730</v>
      </c>
      <c r="O32" s="19">
        <v>14515</v>
      </c>
    </row>
    <row r="33" spans="1:29" x14ac:dyDescent="0.25">
      <c r="A33" s="30"/>
      <c r="B33" s="16" t="s">
        <v>44</v>
      </c>
      <c r="C33" s="17" t="s">
        <v>40</v>
      </c>
      <c r="D33" s="17" t="s">
        <v>28</v>
      </c>
      <c r="E33" s="15">
        <f t="shared" ref="E33:N33" si="1">E27/E23</f>
        <v>0.52286470143612995</v>
      </c>
      <c r="F33" s="14">
        <f t="shared" si="1"/>
        <v>0.54596175478065245</v>
      </c>
      <c r="G33" s="15">
        <f t="shared" si="1"/>
        <v>0.57829401462861851</v>
      </c>
      <c r="H33" s="15">
        <f t="shared" si="1"/>
        <v>0.52827387547086191</v>
      </c>
      <c r="I33" s="15">
        <f t="shared" si="1"/>
        <v>0.54984865457492194</v>
      </c>
      <c r="J33" s="15">
        <f t="shared" si="1"/>
        <v>0.61082754126846217</v>
      </c>
      <c r="K33" s="15">
        <f t="shared" si="1"/>
        <v>0.60984300189288498</v>
      </c>
      <c r="L33" s="15">
        <f t="shared" si="1"/>
        <v>0.64272503082614052</v>
      </c>
      <c r="M33" s="15">
        <f t="shared" si="1"/>
        <v>0.61781609195402298</v>
      </c>
      <c r="N33" s="15">
        <f t="shared" si="1"/>
        <v>0.62997601918465229</v>
      </c>
      <c r="O33" s="15">
        <f t="shared" ref="O33" si="2">O27/O23</f>
        <v>0.59929501732584534</v>
      </c>
    </row>
    <row r="34" spans="1:29" x14ac:dyDescent="0.25">
      <c r="A34" s="30"/>
      <c r="B34" s="16" t="s">
        <v>77</v>
      </c>
      <c r="C34" s="17" t="s">
        <v>76</v>
      </c>
      <c r="D34" s="17" t="s">
        <v>28</v>
      </c>
      <c r="E34" s="15">
        <f t="shared" ref="E34:N34" si="3">E28/E23</f>
        <v>6.286218190980096E-2</v>
      </c>
      <c r="F34" s="14">
        <f t="shared" si="3"/>
        <v>0.12580427446569178</v>
      </c>
      <c r="G34" s="15">
        <f t="shared" si="3"/>
        <v>0.11563819923766354</v>
      </c>
      <c r="H34" s="15">
        <f t="shared" si="3"/>
        <v>5.7988034566807005E-2</v>
      </c>
      <c r="I34" s="15">
        <f t="shared" si="3"/>
        <v>7.7174249827204042E-2</v>
      </c>
      <c r="J34" s="15">
        <f t="shared" si="3"/>
        <v>8.3731537793223287E-2</v>
      </c>
      <c r="K34" s="15">
        <f t="shared" si="3"/>
        <v>0.10227146197528116</v>
      </c>
      <c r="L34" s="15">
        <f t="shared" si="3"/>
        <v>8.1689272503082611E-2</v>
      </c>
      <c r="M34" s="15">
        <f t="shared" si="3"/>
        <v>7.2988505747126439E-2</v>
      </c>
      <c r="N34" s="15">
        <f t="shared" si="3"/>
        <v>0.14340527577937651</v>
      </c>
      <c r="O34" s="15">
        <f t="shared" ref="O34" si="4">O28/O23</f>
        <v>7.7607838451427894E-2</v>
      </c>
    </row>
    <row r="35" spans="1:29" x14ac:dyDescent="0.25">
      <c r="A35" s="30"/>
      <c r="B35" s="16" t="s">
        <v>78</v>
      </c>
      <c r="C35" s="17" t="s">
        <v>79</v>
      </c>
      <c r="D35" s="17" t="s">
        <v>28</v>
      </c>
      <c r="E35" s="15">
        <f t="shared" ref="E35:N35" si="5">E29/E23</f>
        <v>0.45628621819098009</v>
      </c>
      <c r="F35" s="14">
        <f t="shared" si="5"/>
        <v>0.42501687289088863</v>
      </c>
      <c r="G35" s="15">
        <f t="shared" si="5"/>
        <v>0.38925517667662513</v>
      </c>
      <c r="H35" s="15">
        <f t="shared" si="5"/>
        <v>0.45278085530689122</v>
      </c>
      <c r="I35" s="15">
        <f t="shared" si="5"/>
        <v>0.42433920442357653</v>
      </c>
      <c r="J35" s="15">
        <f t="shared" si="5"/>
        <v>0.34850130321459599</v>
      </c>
      <c r="K35" s="15">
        <f t="shared" si="5"/>
        <v>0.36866718628215123</v>
      </c>
      <c r="L35" s="15">
        <f t="shared" si="5"/>
        <v>0.33859432799013561</v>
      </c>
      <c r="M35" s="15">
        <f t="shared" si="5"/>
        <v>0.34040229885057471</v>
      </c>
      <c r="N35" s="15">
        <f t="shared" si="5"/>
        <v>0.29112709832134293</v>
      </c>
      <c r="O35" s="15">
        <f t="shared" ref="O35" si="6">O29/O23</f>
        <v>0.3504002867726132</v>
      </c>
    </row>
    <row r="36" spans="1:29" x14ac:dyDescent="0.25">
      <c r="A36" s="30"/>
      <c r="B36" s="16" t="s">
        <v>192</v>
      </c>
      <c r="C36" s="17" t="s">
        <v>193</v>
      </c>
      <c r="D36" s="17" t="s">
        <v>28</v>
      </c>
      <c r="E36" s="15">
        <f>E21*1000/(E23*Constants!$C$1)</f>
        <v>0.27437148821981711</v>
      </c>
      <c r="F36" s="15">
        <f>F21*1000/(F23*Constants!$C$1)</f>
        <v>0.30612133061816593</v>
      </c>
      <c r="G36" s="15">
        <f>G21*1000/(G23*Constants!$C$1)</f>
        <v>0.32701932327189565</v>
      </c>
      <c r="H36" s="15">
        <f>H21*1000/(H23*Constants!$C$1)</f>
        <v>0.2964475230283718</v>
      </c>
      <c r="I36" s="15">
        <f>I21*1000/(I23*Constants!$C$1)</f>
        <v>0.31886638020522007</v>
      </c>
      <c r="J36" s="15">
        <f>J21*1000/(J23*Constants!$C$1)</f>
        <v>0.36068806534199743</v>
      </c>
      <c r="K36" s="15">
        <f>K21*1000/(K23*Constants!$C$1)</f>
        <v>0.38490568555786409</v>
      </c>
      <c r="L36" s="15">
        <f>L21*1000/(L23*Constants!$C$1)</f>
        <v>0.3658907743237696</v>
      </c>
      <c r="M36" s="15">
        <f>M21*1000/(M23*Constants!$C$1)</f>
        <v>0.36686341915182935</v>
      </c>
      <c r="N36" s="15">
        <f>N21*1000/(N23*Constants!$C$1)</f>
        <v>0.36548389734216108</v>
      </c>
      <c r="O36" s="15">
        <f>O21*1000/(O23*Constants!$C$1)</f>
        <v>0.38125128813573156</v>
      </c>
    </row>
    <row r="37" spans="1:29" x14ac:dyDescent="0.25">
      <c r="A37" s="30"/>
      <c r="B37" s="16" t="s">
        <v>149</v>
      </c>
      <c r="C37" s="17" t="s">
        <v>150</v>
      </c>
      <c r="D37" s="17" t="s">
        <v>28</v>
      </c>
      <c r="E37" s="15">
        <f>(E23*Constants!$C$1)/(E21*1000)</f>
        <v>3.6446935739869368</v>
      </c>
      <c r="F37" s="15">
        <f>(F23*Constants!$C$1)/(F21*1000)</f>
        <v>3.2666786008693043</v>
      </c>
      <c r="G37" s="15">
        <f>(G23*Constants!$C$1)/(G21*1000)</f>
        <v>3.0579232749759075</v>
      </c>
      <c r="H37" s="15">
        <f>(H23*Constants!$C$1)/(H21*1000)</f>
        <v>3.3732783117378045</v>
      </c>
      <c r="I37" s="15">
        <f>(I23*Constants!$C$1)/(I21*1000)</f>
        <v>3.1361098631859754</v>
      </c>
      <c r="J37" s="15">
        <f>(J23*Constants!$C$1)/(J21*1000)</f>
        <v>2.7724787595947191</v>
      </c>
      <c r="K37" s="15">
        <f>(K23*Constants!$C$1)/(K21*1000)</f>
        <v>2.5980390457227136</v>
      </c>
      <c r="L37" s="15">
        <f>(L23*Constants!$C$1)/(L21*1000)</f>
        <v>2.7330560652920961</v>
      </c>
      <c r="M37" s="15">
        <f>(M23*Constants!$C$1)/(M21*1000)</f>
        <v>2.7258100638977636</v>
      </c>
      <c r="N37" s="15">
        <f>(N23*Constants!$C$1)/(N21*1000)</f>
        <v>2.7360986551585706</v>
      </c>
      <c r="O37" s="15">
        <f>(O23*Constants!$C$1)/(O21*1000)</f>
        <v>2.6229419574944073</v>
      </c>
    </row>
    <row r="38" spans="1:29" s="26" customFormat="1" ht="3" customHeight="1" x14ac:dyDescent="0.25">
      <c r="P38" s="28"/>
      <c r="Q38" s="28"/>
      <c r="R38" s="28"/>
      <c r="S38" s="28"/>
      <c r="T38" s="28"/>
      <c r="U38" s="28"/>
      <c r="V38" s="28"/>
      <c r="W38" s="28"/>
      <c r="X38" s="28"/>
      <c r="Y38" s="28"/>
      <c r="Z38" s="28"/>
      <c r="AA38" s="28"/>
      <c r="AB38" s="28"/>
      <c r="AC38" s="28"/>
    </row>
    <row r="39" spans="1:29" s="22" customFormat="1" x14ac:dyDescent="0.25">
      <c r="A39" s="30" t="s">
        <v>69</v>
      </c>
      <c r="B39" s="16" t="s">
        <v>130</v>
      </c>
      <c r="C39" s="21" t="s">
        <v>131</v>
      </c>
      <c r="D39" s="21" t="s">
        <v>28</v>
      </c>
      <c r="E39" s="22">
        <v>2</v>
      </c>
      <c r="F39" s="22">
        <v>2</v>
      </c>
      <c r="G39" s="22">
        <v>2</v>
      </c>
      <c r="H39" s="22">
        <v>3</v>
      </c>
      <c r="I39" s="22">
        <v>2</v>
      </c>
      <c r="J39" s="22">
        <v>2</v>
      </c>
      <c r="K39" s="22">
        <v>2</v>
      </c>
      <c r="L39" s="22">
        <v>2</v>
      </c>
      <c r="M39" s="22">
        <v>2</v>
      </c>
      <c r="N39" s="22">
        <v>2</v>
      </c>
      <c r="O39" s="22">
        <v>2</v>
      </c>
      <c r="P39" s="29"/>
      <c r="Q39" s="29"/>
      <c r="R39" s="29"/>
      <c r="S39" s="29"/>
      <c r="T39" s="29"/>
      <c r="U39" s="29"/>
      <c r="V39" s="29"/>
      <c r="W39" s="29"/>
      <c r="X39" s="29"/>
      <c r="Y39" s="29"/>
      <c r="Z39" s="29"/>
      <c r="AA39" s="29"/>
      <c r="AB39" s="29"/>
      <c r="AC39" s="29"/>
    </row>
    <row r="40" spans="1:29" ht="15" customHeight="1" x14ac:dyDescent="0.25">
      <c r="A40" s="30"/>
      <c r="B40" s="16" t="s">
        <v>70</v>
      </c>
      <c r="C40" s="17" t="s">
        <v>194</v>
      </c>
      <c r="D40" s="17" t="s">
        <v>28</v>
      </c>
      <c r="E40" s="10">
        <v>12</v>
      </c>
      <c r="F40" s="10">
        <v>12</v>
      </c>
      <c r="G40" s="10">
        <v>10</v>
      </c>
      <c r="H40" s="10">
        <v>13</v>
      </c>
      <c r="I40" s="10">
        <v>13</v>
      </c>
      <c r="J40" s="10">
        <v>8</v>
      </c>
      <c r="K40" s="10">
        <v>8</v>
      </c>
      <c r="L40" s="10">
        <v>7</v>
      </c>
      <c r="M40" s="10">
        <v>8</v>
      </c>
      <c r="N40" s="10">
        <v>6</v>
      </c>
      <c r="O40" s="10">
        <v>8</v>
      </c>
    </row>
    <row r="41" spans="1:29" x14ac:dyDescent="0.25">
      <c r="A41" s="30"/>
      <c r="B41" s="16" t="s">
        <v>71</v>
      </c>
      <c r="C41" s="17" t="s">
        <v>195</v>
      </c>
      <c r="D41" s="17" t="s">
        <v>28</v>
      </c>
      <c r="E41" s="10">
        <v>16</v>
      </c>
      <c r="F41" s="10">
        <v>14</v>
      </c>
      <c r="G41" s="10">
        <v>10</v>
      </c>
      <c r="H41" s="10">
        <v>16</v>
      </c>
      <c r="I41" s="10">
        <v>16</v>
      </c>
      <c r="J41" s="10">
        <v>10</v>
      </c>
      <c r="K41" s="10">
        <v>10</v>
      </c>
      <c r="L41" s="10">
        <v>9</v>
      </c>
      <c r="M41" s="10">
        <v>12</v>
      </c>
      <c r="N41" s="10">
        <v>9</v>
      </c>
      <c r="O41" s="10">
        <v>10</v>
      </c>
    </row>
    <row r="42" spans="1:29" x14ac:dyDescent="0.25">
      <c r="A42" s="30"/>
      <c r="B42" s="16" t="s">
        <v>72</v>
      </c>
      <c r="C42" s="17" t="s">
        <v>196</v>
      </c>
      <c r="D42" s="17" t="s">
        <v>89</v>
      </c>
      <c r="E42" s="15">
        <v>11.91</v>
      </c>
      <c r="F42" s="15">
        <v>10.11</v>
      </c>
      <c r="G42" s="15">
        <v>7.98</v>
      </c>
      <c r="H42" s="15">
        <v>13.18</v>
      </c>
      <c r="I42" s="15">
        <v>12.41</v>
      </c>
      <c r="J42" s="15">
        <v>7.68</v>
      </c>
      <c r="K42" s="15">
        <v>7.87</v>
      </c>
      <c r="L42" s="15">
        <v>6.28</v>
      </c>
      <c r="M42" s="15">
        <v>7.35</v>
      </c>
      <c r="N42" s="15">
        <v>5.25</v>
      </c>
      <c r="O42" s="15">
        <v>7.67</v>
      </c>
    </row>
    <row r="43" spans="1:29" x14ac:dyDescent="0.25">
      <c r="A43" s="30"/>
      <c r="B43" s="16" t="s">
        <v>73</v>
      </c>
      <c r="C43" s="17" t="s">
        <v>197</v>
      </c>
      <c r="D43" s="17" t="s">
        <v>89</v>
      </c>
      <c r="E43" s="15">
        <v>2.34</v>
      </c>
      <c r="F43" s="15">
        <v>2.34</v>
      </c>
      <c r="G43" s="15">
        <v>2.34</v>
      </c>
      <c r="H43" s="15">
        <v>2.41</v>
      </c>
      <c r="I43" s="15">
        <v>2.41</v>
      </c>
      <c r="J43" s="15">
        <v>2.19</v>
      </c>
      <c r="K43" s="15">
        <v>2.1800000000000002</v>
      </c>
      <c r="L43" s="15">
        <v>2.08</v>
      </c>
      <c r="M43" s="15">
        <v>2.08</v>
      </c>
      <c r="N43" s="15">
        <v>1.55</v>
      </c>
      <c r="O43" s="15">
        <v>1.68</v>
      </c>
    </row>
    <row r="44" spans="1:29" x14ac:dyDescent="0.25">
      <c r="A44" s="30"/>
      <c r="B44" s="16" t="s">
        <v>74</v>
      </c>
      <c r="C44" s="17" t="s">
        <v>198</v>
      </c>
      <c r="D44" s="17" t="s">
        <v>89</v>
      </c>
      <c r="E44" s="15">
        <v>1.88</v>
      </c>
      <c r="F44" s="15">
        <v>1.88</v>
      </c>
      <c r="G44" s="15">
        <v>1.88</v>
      </c>
      <c r="H44" s="15">
        <v>1.88</v>
      </c>
      <c r="I44" s="15">
        <v>1.88</v>
      </c>
      <c r="J44" s="15">
        <v>1.83</v>
      </c>
      <c r="K44" s="15">
        <v>1.91</v>
      </c>
      <c r="L44" s="15">
        <v>1.83</v>
      </c>
      <c r="M44" s="15">
        <v>1.83</v>
      </c>
      <c r="N44" s="15">
        <v>1.5</v>
      </c>
      <c r="O44" s="15">
        <v>1.73</v>
      </c>
    </row>
    <row r="45" spans="1:29" ht="16.5" x14ac:dyDescent="0.25">
      <c r="A45" s="30"/>
      <c r="B45" s="16" t="s">
        <v>104</v>
      </c>
      <c r="C45" s="17" t="s">
        <v>199</v>
      </c>
      <c r="D45" s="17" t="s">
        <v>200</v>
      </c>
      <c r="E45" s="15">
        <v>44</v>
      </c>
      <c r="F45" s="15">
        <v>35.799999999999997</v>
      </c>
      <c r="G45" s="15">
        <v>29</v>
      </c>
      <c r="H45" s="15">
        <v>60.6</v>
      </c>
      <c r="I45" s="15">
        <v>53.29</v>
      </c>
      <c r="J45" s="15"/>
      <c r="K45" s="15">
        <v>26.5</v>
      </c>
      <c r="L45" s="15"/>
      <c r="M45" s="15"/>
      <c r="N45" s="15"/>
      <c r="O45" s="15"/>
    </row>
    <row r="46" spans="1:29" ht="16.5" x14ac:dyDescent="0.25">
      <c r="A46" s="30"/>
      <c r="B46" s="16" t="s">
        <v>129</v>
      </c>
      <c r="C46" s="17" t="s">
        <v>201</v>
      </c>
      <c r="D46" s="17" t="s">
        <v>200</v>
      </c>
      <c r="E46" s="15">
        <v>4</v>
      </c>
      <c r="F46" s="15">
        <v>3.6</v>
      </c>
      <c r="G46" s="15">
        <v>3.7</v>
      </c>
      <c r="H46" s="15">
        <v>5.52</v>
      </c>
      <c r="I46" s="15">
        <v>5.52</v>
      </c>
      <c r="J46" s="15">
        <v>3</v>
      </c>
      <c r="K46" s="15">
        <v>3.4</v>
      </c>
      <c r="L46" s="15">
        <v>4.25</v>
      </c>
      <c r="M46" s="15">
        <v>4.3890000000000002</v>
      </c>
      <c r="N46" s="15">
        <v>2.3786</v>
      </c>
      <c r="O46" s="15">
        <v>2.93</v>
      </c>
    </row>
    <row r="47" spans="1:29" ht="28.5" x14ac:dyDescent="0.25">
      <c r="A47" s="30"/>
      <c r="B47" s="16" t="s">
        <v>105</v>
      </c>
      <c r="C47" s="17" t="s">
        <v>28</v>
      </c>
      <c r="D47" s="17" t="s">
        <v>28</v>
      </c>
      <c r="E47" s="22" t="s">
        <v>121</v>
      </c>
      <c r="F47" s="22" t="s">
        <v>121</v>
      </c>
      <c r="G47" s="22" t="s">
        <v>121</v>
      </c>
      <c r="H47" s="22" t="s">
        <v>121</v>
      </c>
      <c r="I47" s="22" t="s">
        <v>121</v>
      </c>
      <c r="J47" s="22" t="s">
        <v>121</v>
      </c>
      <c r="K47" s="22" t="s">
        <v>121</v>
      </c>
      <c r="L47" s="22" t="s">
        <v>121</v>
      </c>
      <c r="M47" s="22" t="s">
        <v>121</v>
      </c>
      <c r="N47" s="22" t="s">
        <v>121</v>
      </c>
      <c r="O47" s="22" t="s">
        <v>121</v>
      </c>
    </row>
    <row r="48" spans="1:29" s="26" customFormat="1" ht="3" customHeight="1" x14ac:dyDescent="0.25">
      <c r="P48" s="28"/>
      <c r="Q48" s="28"/>
      <c r="R48" s="28"/>
      <c r="S48" s="28"/>
      <c r="T48" s="28"/>
      <c r="U48" s="28"/>
      <c r="V48" s="28"/>
      <c r="W48" s="28"/>
      <c r="X48" s="28"/>
      <c r="Y48" s="28"/>
      <c r="Z48" s="28"/>
      <c r="AA48" s="28"/>
      <c r="AB48" s="28"/>
      <c r="AC48" s="28"/>
    </row>
    <row r="49" spans="1:29" x14ac:dyDescent="0.25">
      <c r="A49" s="30" t="s">
        <v>25</v>
      </c>
      <c r="B49" s="16" t="s">
        <v>30</v>
      </c>
      <c r="C49" s="17" t="s">
        <v>202</v>
      </c>
      <c r="D49" s="17" t="s">
        <v>89</v>
      </c>
      <c r="E49" s="15">
        <v>23.19</v>
      </c>
      <c r="F49" s="15">
        <v>20.23</v>
      </c>
      <c r="G49" s="15">
        <v>20.23</v>
      </c>
      <c r="H49" s="15">
        <v>30.3</v>
      </c>
      <c r="I49" s="15">
        <v>29.5</v>
      </c>
      <c r="J49" s="15">
        <v>20.9</v>
      </c>
      <c r="K49" s="15">
        <v>20.37</v>
      </c>
      <c r="L49" s="15">
        <v>19.68</v>
      </c>
      <c r="M49" s="15">
        <v>20.74</v>
      </c>
      <c r="N49" s="15">
        <v>15.64</v>
      </c>
      <c r="O49" s="15">
        <v>22.43</v>
      </c>
    </row>
    <row r="50" spans="1:29" x14ac:dyDescent="0.25">
      <c r="A50" s="30"/>
      <c r="B50" s="23" t="s">
        <v>203</v>
      </c>
      <c r="C50" s="17" t="s">
        <v>204</v>
      </c>
      <c r="D50" s="17" t="s">
        <v>28</v>
      </c>
      <c r="E50" s="15">
        <f>E49/E66</f>
        <v>0.88477680274704318</v>
      </c>
      <c r="F50" s="15">
        <f>F49/F66</f>
        <v>0.94621141253507957</v>
      </c>
      <c r="G50" s="15">
        <f>G49/G66</f>
        <v>0.94621141253507957</v>
      </c>
      <c r="H50" s="15">
        <f>H49/H66</f>
        <v>1.0575916230366493</v>
      </c>
      <c r="I50" s="15">
        <f>I49/I66</f>
        <v>1.0296684118673649</v>
      </c>
      <c r="J50" s="15">
        <f>J49/J66</f>
        <v>0.99523809523809514</v>
      </c>
      <c r="K50" s="15">
        <f>K49/K66</f>
        <v>1.0609375000000001</v>
      </c>
      <c r="L50" s="15">
        <f>L49/L66</f>
        <v>0.97185185185185186</v>
      </c>
      <c r="M50" s="15">
        <f>M49/M66</f>
        <v>1.0241975308641975</v>
      </c>
      <c r="N50" s="15">
        <f>N49/N66</f>
        <v>0.98302954116907604</v>
      </c>
      <c r="O50" s="15">
        <f>O49/O66</f>
        <v>1.0635372214319583</v>
      </c>
    </row>
    <row r="51" spans="1:29" x14ac:dyDescent="0.25">
      <c r="A51" s="30"/>
      <c r="B51" s="16" t="s">
        <v>205</v>
      </c>
      <c r="C51" s="17" t="s">
        <v>206</v>
      </c>
      <c r="D51" s="17" t="s">
        <v>28</v>
      </c>
      <c r="E51" s="15">
        <f t="shared" ref="E51:O51" si="7">E49/E7</f>
        <v>1</v>
      </c>
      <c r="F51" s="15">
        <f t="shared" si="7"/>
        <v>1</v>
      </c>
      <c r="G51" s="15">
        <f t="shared" si="7"/>
        <v>1</v>
      </c>
      <c r="H51" s="15">
        <f t="shared" si="7"/>
        <v>1</v>
      </c>
      <c r="I51" s="15">
        <f t="shared" si="7"/>
        <v>1</v>
      </c>
      <c r="J51" s="15">
        <f t="shared" si="7"/>
        <v>0.99904397705544923</v>
      </c>
      <c r="K51" s="15">
        <f t="shared" si="7"/>
        <v>1</v>
      </c>
      <c r="L51" s="15">
        <f t="shared" si="7"/>
        <v>1</v>
      </c>
      <c r="M51" s="15">
        <f t="shared" si="7"/>
        <v>1</v>
      </c>
      <c r="N51" s="15">
        <f t="shared" si="7"/>
        <v>1</v>
      </c>
      <c r="O51" s="15">
        <f t="shared" si="7"/>
        <v>1</v>
      </c>
    </row>
    <row r="52" spans="1:29" x14ac:dyDescent="0.25">
      <c r="A52" s="30"/>
      <c r="B52" s="16" t="s">
        <v>31</v>
      </c>
      <c r="C52" s="17" t="s">
        <v>207</v>
      </c>
      <c r="D52" s="17" t="s">
        <v>89</v>
      </c>
      <c r="E52" s="15">
        <v>2.5499999999999998</v>
      </c>
      <c r="F52" s="15">
        <v>2.5</v>
      </c>
      <c r="G52" s="15">
        <v>2.5</v>
      </c>
      <c r="H52" s="15">
        <v>2.69</v>
      </c>
      <c r="I52" s="15">
        <f>H52</f>
        <v>2.69</v>
      </c>
      <c r="J52" s="15">
        <v>2.41</v>
      </c>
      <c r="K52" s="15">
        <v>2.34</v>
      </c>
      <c r="L52" s="15">
        <v>2.23</v>
      </c>
      <c r="M52" s="15">
        <v>2.36</v>
      </c>
      <c r="N52" s="15">
        <v>1.67</v>
      </c>
      <c r="O52" s="15">
        <v>1.99</v>
      </c>
    </row>
    <row r="53" spans="1:29" x14ac:dyDescent="0.25">
      <c r="A53" s="30"/>
      <c r="B53" s="16" t="s">
        <v>32</v>
      </c>
      <c r="C53" s="17" t="s">
        <v>208</v>
      </c>
      <c r="D53" s="17" t="s">
        <v>89</v>
      </c>
      <c r="E53" s="15">
        <v>2.58</v>
      </c>
      <c r="F53" s="15">
        <v>2.67</v>
      </c>
      <c r="G53" s="15">
        <v>2.4700000000000002</v>
      </c>
      <c r="H53" s="15">
        <v>2.78</v>
      </c>
      <c r="I53" s="15">
        <v>2.57</v>
      </c>
      <c r="J53" s="15">
        <v>2.52</v>
      </c>
      <c r="K53" s="15">
        <v>2.2200000000000002</v>
      </c>
      <c r="L53" s="15">
        <v>2.39</v>
      </c>
      <c r="M53" s="15">
        <v>2.31</v>
      </c>
      <c r="N53" s="15">
        <v>1.67</v>
      </c>
      <c r="O53" s="15">
        <v>1.83</v>
      </c>
    </row>
    <row r="54" spans="1:29" ht="16.5" x14ac:dyDescent="0.25">
      <c r="A54" s="30"/>
      <c r="B54" s="16" t="s">
        <v>33</v>
      </c>
      <c r="C54" s="17" t="s">
        <v>209</v>
      </c>
      <c r="D54" s="17" t="s">
        <v>210</v>
      </c>
      <c r="E54" s="15">
        <f>PI()*E52*E53/4</f>
        <v>5.1671345169918119</v>
      </c>
      <c r="F54" s="15">
        <f t="shared" ref="F54:N54" si="8">PI()*F52*F53/4</f>
        <v>5.2425327406779667</v>
      </c>
      <c r="G54" s="15">
        <f t="shared" si="8"/>
        <v>4.8498336589792439</v>
      </c>
      <c r="H54" s="15">
        <f t="shared" si="8"/>
        <v>5.8733645455187977</v>
      </c>
      <c r="I54" s="15">
        <f t="shared" si="8"/>
        <v>5.4296931230155794</v>
      </c>
      <c r="J54" s="15">
        <f t="shared" si="8"/>
        <v>4.7698801259453836</v>
      </c>
      <c r="K54" s="15">
        <f t="shared" si="8"/>
        <v>4.0799863792170639</v>
      </c>
      <c r="L54" s="15">
        <f t="shared" si="8"/>
        <v>4.1859365914593809</v>
      </c>
      <c r="M54" s="15">
        <f t="shared" si="8"/>
        <v>4.2816766275775286</v>
      </c>
      <c r="N54" s="15">
        <f t="shared" si="8"/>
        <v>2.1903969378991435</v>
      </c>
      <c r="O54" s="15">
        <f t="shared" ref="O54" si="9">PI()*O52*O53/4</f>
        <v>2.8601844916444876</v>
      </c>
    </row>
    <row r="55" spans="1:29" ht="30" customHeight="1" x14ac:dyDescent="0.25">
      <c r="A55" s="30"/>
      <c r="B55" s="16" t="s">
        <v>34</v>
      </c>
      <c r="C55" s="17" t="s">
        <v>211</v>
      </c>
      <c r="D55" s="17" t="s">
        <v>89</v>
      </c>
      <c r="E55" s="15">
        <v>1.3</v>
      </c>
      <c r="F55" s="15">
        <v>0.71</v>
      </c>
      <c r="G55" s="15">
        <v>1.25</v>
      </c>
      <c r="H55" s="15">
        <v>1.38</v>
      </c>
      <c r="I55" s="15">
        <v>1.56</v>
      </c>
      <c r="J55" s="15">
        <v>1.24</v>
      </c>
      <c r="K55" s="15">
        <v>1.0900000000000001</v>
      </c>
      <c r="L55" s="15">
        <v>1.3</v>
      </c>
      <c r="M55" s="15">
        <v>1.35</v>
      </c>
      <c r="N55" s="15">
        <v>1.1000000000000001</v>
      </c>
      <c r="O55" s="15">
        <v>1.18</v>
      </c>
    </row>
    <row r="56" spans="1:29" ht="18" customHeight="1" x14ac:dyDescent="0.25">
      <c r="A56" s="24"/>
      <c r="B56" s="16" t="s">
        <v>75</v>
      </c>
      <c r="C56" s="17" t="s">
        <v>212</v>
      </c>
      <c r="D56" s="17" t="s">
        <v>28</v>
      </c>
      <c r="E56" s="15">
        <f>E49/E52</f>
        <v>9.094117647058825</v>
      </c>
      <c r="F56" s="15">
        <f t="shared" ref="F56" si="10">F49/F52</f>
        <v>8.0920000000000005</v>
      </c>
      <c r="G56" s="15">
        <f t="shared" ref="G56:H56" si="11">G49/G52</f>
        <v>8.0920000000000005</v>
      </c>
      <c r="H56" s="15">
        <f t="shared" si="11"/>
        <v>11.263940520446097</v>
      </c>
      <c r="I56" s="15">
        <f t="shared" ref="I56:J56" si="12">I49/I52</f>
        <v>10.966542750929369</v>
      </c>
      <c r="J56" s="15">
        <f t="shared" si="12"/>
        <v>8.6721991701244807</v>
      </c>
      <c r="K56" s="15">
        <f t="shared" ref="K56:M56" si="13">K49/K52</f>
        <v>8.7051282051282062</v>
      </c>
      <c r="L56" s="15">
        <f t="shared" si="13"/>
        <v>8.825112107623319</v>
      </c>
      <c r="M56" s="15">
        <f t="shared" si="13"/>
        <v>8.7881355932203391</v>
      </c>
      <c r="N56" s="15">
        <f t="shared" ref="N56:O56" si="14">N49/N52</f>
        <v>9.3652694610778457</v>
      </c>
      <c r="O56" s="15">
        <f t="shared" si="14"/>
        <v>11.271356783919598</v>
      </c>
    </row>
    <row r="57" spans="1:29" s="26" customFormat="1" ht="3" customHeight="1" x14ac:dyDescent="0.25">
      <c r="P57" s="28"/>
      <c r="Q57" s="28"/>
      <c r="R57" s="28"/>
      <c r="S57" s="28"/>
      <c r="T57" s="28"/>
      <c r="U57" s="28"/>
      <c r="V57" s="28"/>
      <c r="W57" s="28"/>
      <c r="X57" s="28"/>
      <c r="Y57" s="28"/>
      <c r="Z57" s="28"/>
      <c r="AA57" s="28"/>
      <c r="AB57" s="28"/>
      <c r="AC57" s="28"/>
    </row>
    <row r="58" spans="1:29" s="28" customFormat="1" ht="15" customHeight="1" x14ac:dyDescent="0.25">
      <c r="A58" s="4" t="s">
        <v>85</v>
      </c>
      <c r="B58" s="5" t="s">
        <v>88</v>
      </c>
      <c r="C58" s="4" t="s">
        <v>86</v>
      </c>
      <c r="D58" s="4" t="s">
        <v>87</v>
      </c>
      <c r="E58" s="4" t="s">
        <v>249</v>
      </c>
      <c r="F58" s="4" t="s">
        <v>250</v>
      </c>
      <c r="G58" s="4" t="s">
        <v>251</v>
      </c>
      <c r="H58" s="4" t="s">
        <v>252</v>
      </c>
      <c r="I58" s="4" t="s">
        <v>253</v>
      </c>
      <c r="J58" s="4" t="s">
        <v>254</v>
      </c>
      <c r="K58" s="4" t="s">
        <v>255</v>
      </c>
      <c r="L58" s="4" t="s">
        <v>256</v>
      </c>
      <c r="M58" s="4" t="s">
        <v>257</v>
      </c>
      <c r="N58" s="4" t="s">
        <v>258</v>
      </c>
      <c r="O58" s="4" t="s">
        <v>259</v>
      </c>
    </row>
    <row r="59" spans="1:29" s="28" customFormat="1" ht="15" customHeight="1" x14ac:dyDescent="0.25">
      <c r="A59" s="30" t="s">
        <v>22</v>
      </c>
      <c r="B59" s="7" t="s">
        <v>0</v>
      </c>
      <c r="C59" s="8" t="s">
        <v>28</v>
      </c>
      <c r="D59" s="8" t="s">
        <v>28</v>
      </c>
      <c r="E59" s="32" t="s">
        <v>110</v>
      </c>
      <c r="F59" s="33" t="s">
        <v>115</v>
      </c>
      <c r="G59" s="33" t="s">
        <v>116</v>
      </c>
      <c r="H59" s="33" t="s">
        <v>109</v>
      </c>
      <c r="I59" s="33" t="s">
        <v>108</v>
      </c>
      <c r="J59" s="33" t="s">
        <v>152</v>
      </c>
      <c r="K59" s="33" t="s">
        <v>107</v>
      </c>
      <c r="L59" s="33" t="s">
        <v>112</v>
      </c>
      <c r="M59" s="33" t="s">
        <v>169</v>
      </c>
      <c r="N59" s="33" t="s">
        <v>114</v>
      </c>
      <c r="O59" s="33" t="s">
        <v>170</v>
      </c>
    </row>
    <row r="60" spans="1:29" s="28" customFormat="1" ht="18" customHeight="1" x14ac:dyDescent="0.25">
      <c r="A60" s="30"/>
      <c r="B60" s="11" t="s">
        <v>1</v>
      </c>
      <c r="C60" s="8" t="s">
        <v>28</v>
      </c>
      <c r="D60" s="8" t="s">
        <v>28</v>
      </c>
      <c r="E60" s="32" t="s">
        <v>29</v>
      </c>
      <c r="F60" s="33" t="s">
        <v>29</v>
      </c>
      <c r="G60" s="33" t="s">
        <v>29</v>
      </c>
      <c r="H60" s="33" t="s">
        <v>80</v>
      </c>
      <c r="I60" s="33" t="s">
        <v>80</v>
      </c>
      <c r="J60" s="33" t="s">
        <v>80</v>
      </c>
      <c r="K60" s="33" t="s">
        <v>106</v>
      </c>
      <c r="L60" s="33" t="s">
        <v>111</v>
      </c>
      <c r="M60" s="33" t="s">
        <v>111</v>
      </c>
      <c r="N60" s="33" t="s">
        <v>111</v>
      </c>
      <c r="O60" s="33" t="s">
        <v>113</v>
      </c>
    </row>
    <row r="61" spans="1:29" s="26" customFormat="1" ht="3" customHeight="1" x14ac:dyDescent="0.25"/>
    <row r="62" spans="1:29" x14ac:dyDescent="0.25">
      <c r="A62" s="30" t="s">
        <v>26</v>
      </c>
      <c r="B62" s="16" t="s">
        <v>11</v>
      </c>
      <c r="C62" s="17" t="s">
        <v>28</v>
      </c>
      <c r="D62" s="17" t="s">
        <v>28</v>
      </c>
      <c r="E62" s="10" t="s">
        <v>143</v>
      </c>
      <c r="F62" s="10" t="s">
        <v>143</v>
      </c>
      <c r="G62" s="10" t="s">
        <v>143</v>
      </c>
      <c r="H62" s="10" t="s">
        <v>143</v>
      </c>
      <c r="I62" s="10" t="s">
        <v>143</v>
      </c>
      <c r="J62" s="10" t="s">
        <v>143</v>
      </c>
      <c r="K62" s="10" t="s">
        <v>143</v>
      </c>
      <c r="L62" s="10" t="s">
        <v>143</v>
      </c>
      <c r="M62" s="10" t="s">
        <v>143</v>
      </c>
      <c r="N62" s="10" t="s">
        <v>143</v>
      </c>
      <c r="O62" s="10" t="s">
        <v>143</v>
      </c>
    </row>
    <row r="63" spans="1:29" x14ac:dyDescent="0.25">
      <c r="A63" s="30"/>
      <c r="B63" s="16" t="s">
        <v>12</v>
      </c>
      <c r="C63" s="17" t="s">
        <v>213</v>
      </c>
      <c r="D63" s="17" t="s">
        <v>28</v>
      </c>
      <c r="E63" s="15">
        <f>E73/E49</f>
        <v>0.90390519455774121</v>
      </c>
      <c r="F63" s="15">
        <f>F73/F49</f>
        <v>1.0016486302763532</v>
      </c>
      <c r="G63" s="15">
        <f>G73/G49</f>
        <v>0.92623108432265344</v>
      </c>
      <c r="H63" s="15">
        <f>H73/H49</f>
        <v>0.8178643134182727</v>
      </c>
      <c r="I63" s="15">
        <f>I73/I49</f>
        <v>0.85761391447517787</v>
      </c>
      <c r="J63" s="15">
        <f>J73/J49</f>
        <v>0.89150576638366763</v>
      </c>
      <c r="K63" s="15">
        <f>K73/K49</f>
        <v>0.93524212782911609</v>
      </c>
      <c r="L63" s="15">
        <f>L73/L49</f>
        <v>0.83633556395163378</v>
      </c>
      <c r="M63" s="15">
        <f>M73/M49</f>
        <v>0.88296168878252479</v>
      </c>
      <c r="N63" s="15">
        <f>N73/N49</f>
        <v>0.86488045201007102</v>
      </c>
      <c r="O63" s="15">
        <f>O73/O49</f>
        <v>0.83676612683256624</v>
      </c>
    </row>
    <row r="64" spans="1:29" x14ac:dyDescent="0.25">
      <c r="A64" s="30"/>
      <c r="B64" s="16" t="s">
        <v>144</v>
      </c>
      <c r="C64" s="17" t="s">
        <v>214</v>
      </c>
      <c r="D64" s="17" t="s">
        <v>89</v>
      </c>
      <c r="E64" s="15">
        <v>8.5500000000000007</v>
      </c>
      <c r="F64" s="15">
        <v>8.73</v>
      </c>
      <c r="G64" s="15">
        <v>8</v>
      </c>
      <c r="H64" s="15">
        <v>9.85</v>
      </c>
      <c r="I64" s="15">
        <v>10.3</v>
      </c>
      <c r="J64" s="15">
        <v>7.8</v>
      </c>
      <c r="K64" s="15">
        <v>8.17</v>
      </c>
      <c r="L64" s="15">
        <v>6.85</v>
      </c>
      <c r="M64" s="15">
        <v>7.79</v>
      </c>
      <c r="N64" s="15">
        <v>5.79</v>
      </c>
      <c r="O64" s="15">
        <v>7.36</v>
      </c>
    </row>
    <row r="65" spans="1:15" ht="16.5" x14ac:dyDescent="0.25">
      <c r="A65" s="30"/>
      <c r="B65" s="16" t="s">
        <v>54</v>
      </c>
      <c r="C65" s="17" t="s">
        <v>215</v>
      </c>
      <c r="D65" s="17" t="s">
        <v>210</v>
      </c>
      <c r="E65" s="15">
        <v>70.7</v>
      </c>
      <c r="F65" s="15">
        <v>49</v>
      </c>
      <c r="G65" s="15">
        <v>49.02</v>
      </c>
      <c r="H65" s="15">
        <v>94.9</v>
      </c>
      <c r="I65" s="15">
        <f>H65</f>
        <v>94.9</v>
      </c>
      <c r="J65" s="15">
        <v>48.49</v>
      </c>
      <c r="K65" s="15">
        <v>46</v>
      </c>
      <c r="L65" s="15">
        <v>44.9</v>
      </c>
      <c r="M65" s="15">
        <v>44.9</v>
      </c>
      <c r="N65" s="15">
        <v>28.47</v>
      </c>
      <c r="O65" s="15">
        <v>48.96</v>
      </c>
    </row>
    <row r="66" spans="1:15" x14ac:dyDescent="0.25">
      <c r="A66" s="30"/>
      <c r="B66" s="16" t="s">
        <v>53</v>
      </c>
      <c r="C66" s="17" t="s">
        <v>45</v>
      </c>
      <c r="D66" s="17" t="s">
        <v>89</v>
      </c>
      <c r="E66" s="15">
        <v>26.21</v>
      </c>
      <c r="F66" s="15">
        <v>21.38</v>
      </c>
      <c r="G66" s="15">
        <v>21.38</v>
      </c>
      <c r="H66" s="15">
        <v>28.65</v>
      </c>
      <c r="I66" s="15">
        <f>H66</f>
        <v>28.65</v>
      </c>
      <c r="J66" s="15">
        <v>21</v>
      </c>
      <c r="K66" s="15">
        <v>19.2</v>
      </c>
      <c r="L66" s="15">
        <v>20.25</v>
      </c>
      <c r="M66" s="15">
        <v>20.25</v>
      </c>
      <c r="N66" s="15">
        <v>15.91</v>
      </c>
      <c r="O66" s="15">
        <v>21.09</v>
      </c>
    </row>
    <row r="67" spans="1:15" x14ac:dyDescent="0.25">
      <c r="A67" s="30"/>
      <c r="B67" s="16" t="s">
        <v>173</v>
      </c>
      <c r="C67" s="17" t="s">
        <v>216</v>
      </c>
      <c r="D67" s="17" t="s">
        <v>89</v>
      </c>
      <c r="E67" s="15">
        <v>10.94</v>
      </c>
      <c r="F67" s="15">
        <f>(F66-F52)/2</f>
        <v>9.44</v>
      </c>
      <c r="G67" s="15">
        <f>(G66-G52)/2</f>
        <v>9.44</v>
      </c>
      <c r="H67" s="15">
        <f>(H66-H52)/2</f>
        <v>12.979999999999999</v>
      </c>
      <c r="I67" s="15">
        <f>(I66-I52)/2</f>
        <v>12.979999999999999</v>
      </c>
      <c r="J67" s="15">
        <f>(J66-J52)/2</f>
        <v>9.2949999999999999</v>
      </c>
      <c r="K67" s="15">
        <f>(K66-K52)/2</f>
        <v>8.43</v>
      </c>
      <c r="L67" s="15">
        <f>(L66-L52)/2</f>
        <v>9.01</v>
      </c>
      <c r="M67" s="15">
        <f>(M66-M52)/2</f>
        <v>8.9450000000000003</v>
      </c>
      <c r="N67" s="15">
        <f>(N66-N52)/2</f>
        <v>7.12</v>
      </c>
      <c r="O67" s="15">
        <f>(O66-O52)/2</f>
        <v>9.5500000000000007</v>
      </c>
    </row>
    <row r="68" spans="1:15" x14ac:dyDescent="0.25">
      <c r="A68" s="30"/>
      <c r="B68" s="16" t="s">
        <v>46</v>
      </c>
      <c r="C68" s="17" t="s">
        <v>217</v>
      </c>
      <c r="D68" s="17" t="s">
        <v>89</v>
      </c>
      <c r="E68" s="15">
        <v>1.1000000000000001</v>
      </c>
      <c r="F68" s="15">
        <v>1.1200000000000001</v>
      </c>
      <c r="G68" s="15">
        <v>1.21</v>
      </c>
      <c r="H68" s="15">
        <v>1.24</v>
      </c>
      <c r="I68" s="15">
        <f>H68</f>
        <v>1.24</v>
      </c>
      <c r="J68" s="15">
        <v>1.1399999999999999</v>
      </c>
      <c r="K68" s="15">
        <v>1</v>
      </c>
      <c r="L68" s="15">
        <v>1.1299999999999999</v>
      </c>
      <c r="M68" s="15">
        <v>1.02</v>
      </c>
      <c r="N68" s="15">
        <v>0.84</v>
      </c>
      <c r="O68" s="15">
        <v>1.1599999999999999</v>
      </c>
    </row>
    <row r="69" spans="1:15" x14ac:dyDescent="0.25">
      <c r="A69" s="30"/>
      <c r="B69" s="16" t="s">
        <v>47</v>
      </c>
      <c r="C69" s="17" t="s">
        <v>218</v>
      </c>
      <c r="D69" s="17" t="s">
        <v>89</v>
      </c>
      <c r="E69" s="15">
        <v>4.92</v>
      </c>
      <c r="F69" s="15">
        <v>4.08</v>
      </c>
      <c r="G69" s="15">
        <v>4.0599999999999996</v>
      </c>
      <c r="H69" s="15">
        <v>6.43</v>
      </c>
      <c r="I69" s="15">
        <f>H69</f>
        <v>6.43</v>
      </c>
      <c r="J69" s="15">
        <v>4.55</v>
      </c>
      <c r="K69" s="15">
        <v>3.9</v>
      </c>
      <c r="L69" s="15">
        <v>4.26</v>
      </c>
      <c r="M69" s="15">
        <v>4.1500000000000004</v>
      </c>
      <c r="N69" s="15">
        <v>2.9</v>
      </c>
      <c r="O69" s="15">
        <v>4.7</v>
      </c>
    </row>
    <row r="70" spans="1:15" x14ac:dyDescent="0.25">
      <c r="A70" s="30"/>
      <c r="B70" s="16" t="s">
        <v>13</v>
      </c>
      <c r="C70" s="17" t="s">
        <v>48</v>
      </c>
      <c r="D70" s="17" t="s">
        <v>89</v>
      </c>
      <c r="E70" s="15">
        <f>E65/E66</f>
        <v>2.6974437237695534</v>
      </c>
      <c r="F70" s="15">
        <f t="shared" ref="F70:O70" si="15">F65/F66</f>
        <v>2.2918615528531339</v>
      </c>
      <c r="G70" s="15">
        <f t="shared" si="15"/>
        <v>2.292797006548176</v>
      </c>
      <c r="H70" s="15">
        <f t="shared" si="15"/>
        <v>3.3123909249563703</v>
      </c>
      <c r="I70" s="15">
        <f t="shared" si="15"/>
        <v>3.3123909249563703</v>
      </c>
      <c r="J70" s="15">
        <f t="shared" si="15"/>
        <v>2.309047619047619</v>
      </c>
      <c r="K70" s="15">
        <f t="shared" si="15"/>
        <v>2.3958333333333335</v>
      </c>
      <c r="L70" s="15">
        <f t="shared" si="15"/>
        <v>2.2172839506172837</v>
      </c>
      <c r="M70" s="15">
        <f t="shared" si="15"/>
        <v>2.2172839506172837</v>
      </c>
      <c r="N70" s="15">
        <f t="shared" si="15"/>
        <v>1.7894406033940917</v>
      </c>
      <c r="O70" s="15">
        <f t="shared" si="15"/>
        <v>2.321479374110953</v>
      </c>
    </row>
    <row r="71" spans="1:15" ht="30" customHeight="1" x14ac:dyDescent="0.25">
      <c r="A71" s="30"/>
      <c r="B71" s="16" t="s">
        <v>14</v>
      </c>
      <c r="C71" s="17" t="s">
        <v>49</v>
      </c>
      <c r="D71" s="17" t="s">
        <v>89</v>
      </c>
      <c r="E71" s="15">
        <f>E69-(2*(E69-E68)*(0.5*E69+E68)/(3*(E69+E68)))</f>
        <v>3.4139977851605758</v>
      </c>
      <c r="F71" s="15">
        <f t="shared" ref="F71:O71" si="16">F69-(2*(F69-F68)*(0.5*F69+F68)/(3*(F69+F68)))</f>
        <v>2.8808205128205131</v>
      </c>
      <c r="G71" s="15">
        <f t="shared" si="16"/>
        <v>2.8918785578747626</v>
      </c>
      <c r="H71" s="15">
        <f t="shared" si="16"/>
        <v>4.4203129074315513</v>
      </c>
      <c r="I71" s="15">
        <f t="shared" si="16"/>
        <v>4.4203129074315513</v>
      </c>
      <c r="J71" s="15">
        <f t="shared" si="16"/>
        <v>3.1856004686584649</v>
      </c>
      <c r="K71" s="15">
        <f t="shared" si="16"/>
        <v>2.7360544217687073</v>
      </c>
      <c r="L71" s="15">
        <f t="shared" si="16"/>
        <v>2.9979344465058748</v>
      </c>
      <c r="M71" s="15">
        <f t="shared" si="16"/>
        <v>2.9008252740167633</v>
      </c>
      <c r="N71" s="15">
        <f t="shared" si="16"/>
        <v>2.0591087344028516</v>
      </c>
      <c r="O71" s="15">
        <f t="shared" si="16"/>
        <v>3.2864163822525603</v>
      </c>
    </row>
    <row r="72" spans="1:15" ht="30" customHeight="1" x14ac:dyDescent="0.25">
      <c r="A72" s="30"/>
      <c r="B72" s="16" t="s">
        <v>174</v>
      </c>
      <c r="C72" s="17" t="s">
        <v>219</v>
      </c>
      <c r="D72" s="17" t="s">
        <v>89</v>
      </c>
      <c r="E72" s="15">
        <f>E64+((E75*(E69+2*E68))/(3*(E69+E68)))</f>
        <v>11.558062015503877</v>
      </c>
      <c r="F72" s="15">
        <f t="shared" ref="F72:O72" si="17">F64+((F75*(F69+2*F68))/(3*(F69+F68)))</f>
        <v>10.813146662285497</v>
      </c>
      <c r="G72" s="15">
        <f t="shared" si="17"/>
        <v>10.01468519637859</v>
      </c>
      <c r="H72" s="15">
        <f t="shared" si="17"/>
        <v>13.826210469715779</v>
      </c>
      <c r="I72" s="15">
        <f t="shared" si="17"/>
        <v>13.894532250159859</v>
      </c>
      <c r="J72" s="15">
        <f t="shared" si="17"/>
        <v>10.036070400254037</v>
      </c>
      <c r="K72" s="15">
        <f t="shared" si="17"/>
        <v>10.19686853843692</v>
      </c>
      <c r="L72" s="15">
        <f t="shared" si="17"/>
        <v>8.8596002869416832</v>
      </c>
      <c r="M72" s="15">
        <f t="shared" si="17"/>
        <v>9.7974191068453695</v>
      </c>
      <c r="N72" s="15">
        <f t="shared" si="17"/>
        <v>7.2219530858367991</v>
      </c>
      <c r="O72" s="15">
        <f t="shared" si="17"/>
        <v>10.587060129291322</v>
      </c>
    </row>
    <row r="73" spans="1:15" ht="28.5" x14ac:dyDescent="0.25">
      <c r="A73" s="30"/>
      <c r="B73" s="16" t="s">
        <v>51</v>
      </c>
      <c r="C73" s="17" t="s">
        <v>220</v>
      </c>
      <c r="D73" s="17" t="s">
        <v>89</v>
      </c>
      <c r="E73" s="15">
        <f>E64+E72+E71/4</f>
        <v>20.96156146179402</v>
      </c>
      <c r="F73" s="15">
        <f t="shared" ref="F73:O73" si="18">F64+F72+F71/4</f>
        <v>20.263351790490624</v>
      </c>
      <c r="G73" s="15">
        <f t="shared" si="18"/>
        <v>18.73765483584728</v>
      </c>
      <c r="H73" s="15">
        <f t="shared" si="18"/>
        <v>24.781288696573665</v>
      </c>
      <c r="I73" s="15">
        <f t="shared" si="18"/>
        <v>25.299610477017747</v>
      </c>
      <c r="J73" s="15">
        <f t="shared" si="18"/>
        <v>18.632470517418653</v>
      </c>
      <c r="K73" s="15">
        <f t="shared" si="18"/>
        <v>19.050882143879097</v>
      </c>
      <c r="L73" s="15">
        <f t="shared" si="18"/>
        <v>16.459083898568153</v>
      </c>
      <c r="M73" s="15">
        <f t="shared" si="18"/>
        <v>18.312625425349562</v>
      </c>
      <c r="N73" s="15">
        <f t="shared" si="18"/>
        <v>13.526730269437511</v>
      </c>
      <c r="O73" s="15">
        <f t="shared" si="18"/>
        <v>18.768664224854462</v>
      </c>
    </row>
    <row r="74" spans="1:15" ht="28.5" x14ac:dyDescent="0.25">
      <c r="A74" s="30"/>
      <c r="B74" s="16" t="s">
        <v>175</v>
      </c>
      <c r="C74" s="17" t="s">
        <v>221</v>
      </c>
      <c r="D74" s="17" t="s">
        <v>89</v>
      </c>
      <c r="E74" s="15">
        <f>(2*E67*(0.5*E69+E68))/(3*(E69+E68))</f>
        <v>4.3130011074197121</v>
      </c>
      <c r="F74" s="15">
        <f t="shared" ref="F74:O74" si="19">(2*F67*(0.5*F69+F68))/(3*(F69+F68))</f>
        <v>3.824410256410256</v>
      </c>
      <c r="G74" s="15">
        <f t="shared" si="19"/>
        <v>3.869146110056926</v>
      </c>
      <c r="H74" s="15">
        <f t="shared" si="19"/>
        <v>5.0261538461538464</v>
      </c>
      <c r="I74" s="15">
        <f t="shared" si="19"/>
        <v>5.0261538461538464</v>
      </c>
      <c r="J74" s="15">
        <f t="shared" si="19"/>
        <v>3.7190890451083773</v>
      </c>
      <c r="K74" s="15">
        <f t="shared" si="19"/>
        <v>3.3834693877551021</v>
      </c>
      <c r="L74" s="15">
        <f t="shared" si="19"/>
        <v>3.632974644403216</v>
      </c>
      <c r="M74" s="15">
        <f t="shared" si="19"/>
        <v>3.5699258542875567</v>
      </c>
      <c r="N74" s="15">
        <f t="shared" si="19"/>
        <v>2.9063814616755796</v>
      </c>
      <c r="O74" s="15">
        <f t="shared" si="19"/>
        <v>3.8134812286689415</v>
      </c>
    </row>
    <row r="75" spans="1:15" ht="28.5" x14ac:dyDescent="0.25">
      <c r="A75" s="30"/>
      <c r="B75" s="16" t="s">
        <v>176</v>
      </c>
      <c r="C75" s="17" t="s">
        <v>172</v>
      </c>
      <c r="D75" s="17" t="s">
        <v>89</v>
      </c>
      <c r="E75" s="15">
        <v>7.63</v>
      </c>
      <c r="F75" s="15">
        <f>F67*TAN(RADIANS(F78))-(F68/4)+(F69/4)</f>
        <v>5.1419442929831867</v>
      </c>
      <c r="G75" s="15">
        <f t="shared" ref="G75:O75" si="20">G67*TAN(RADIANS(G78))-(G68/4)+(G69/4)</f>
        <v>4.9154587893125807</v>
      </c>
      <c r="H75" s="15">
        <f t="shared" si="20"/>
        <v>10.268530068255902</v>
      </c>
      <c r="I75" s="15">
        <f t="shared" si="20"/>
        <v>9.2828492790323587</v>
      </c>
      <c r="J75" s="15">
        <f t="shared" si="20"/>
        <v>5.5885390530507157</v>
      </c>
      <c r="K75" s="15">
        <f t="shared" si="20"/>
        <v>5.0499944940716501</v>
      </c>
      <c r="L75" s="15">
        <f t="shared" si="20"/>
        <v>4.9839319999765372</v>
      </c>
      <c r="M75" s="15">
        <f t="shared" si="20"/>
        <v>5.0298982790261206</v>
      </c>
      <c r="N75" s="15">
        <f t="shared" si="20"/>
        <v>3.5079724067879652</v>
      </c>
      <c r="O75" s="15">
        <f t="shared" si="20"/>
        <v>8.0814411784816862</v>
      </c>
    </row>
    <row r="76" spans="1:15" x14ac:dyDescent="0.25">
      <c r="A76" s="30"/>
      <c r="B76" s="16" t="s">
        <v>50</v>
      </c>
      <c r="C76" s="17" t="s">
        <v>222</v>
      </c>
      <c r="D76" s="17" t="s">
        <v>28</v>
      </c>
      <c r="E76" s="15">
        <f>(E66^2)/E65</f>
        <v>9.7166067892503545</v>
      </c>
      <c r="F76" s="15">
        <f t="shared" ref="F76:O76" si="21">(F66^2)/F65</f>
        <v>9.3286612244897942</v>
      </c>
      <c r="G76" s="15">
        <f t="shared" si="21"/>
        <v>9.3248551611587089</v>
      </c>
      <c r="H76" s="15">
        <f t="shared" si="21"/>
        <v>8.6493414120126424</v>
      </c>
      <c r="I76" s="15">
        <f t="shared" si="21"/>
        <v>8.6493414120126424</v>
      </c>
      <c r="J76" s="15">
        <f t="shared" si="21"/>
        <v>9.0946586925139208</v>
      </c>
      <c r="K76" s="15">
        <f t="shared" si="21"/>
        <v>8.0139130434782597</v>
      </c>
      <c r="L76" s="15">
        <f t="shared" si="21"/>
        <v>9.132795100222717</v>
      </c>
      <c r="M76" s="15">
        <f t="shared" si="21"/>
        <v>9.132795100222717</v>
      </c>
      <c r="N76" s="15">
        <f t="shared" si="21"/>
        <v>8.8910467158412381</v>
      </c>
      <c r="O76" s="15">
        <f t="shared" si="21"/>
        <v>9.0847242647058817</v>
      </c>
    </row>
    <row r="77" spans="1:15" x14ac:dyDescent="0.25">
      <c r="A77" s="30"/>
      <c r="B77" s="16" t="s">
        <v>15</v>
      </c>
      <c r="C77" s="17" t="s">
        <v>223</v>
      </c>
      <c r="D77" s="17" t="s">
        <v>28</v>
      </c>
      <c r="E77" s="15">
        <f>E68/E69</f>
        <v>0.22357723577235775</v>
      </c>
      <c r="F77" s="15">
        <f>F68/F69</f>
        <v>0.27450980392156865</v>
      </c>
      <c r="G77" s="15">
        <f t="shared" ref="G77:N77" si="22">G68/G69</f>
        <v>0.29802955665024633</v>
      </c>
      <c r="H77" s="15">
        <f t="shared" si="22"/>
        <v>0.19284603421461899</v>
      </c>
      <c r="I77" s="15">
        <f t="shared" si="22"/>
        <v>0.19284603421461899</v>
      </c>
      <c r="J77" s="15">
        <f t="shared" si="22"/>
        <v>0.25054945054945055</v>
      </c>
      <c r="K77" s="15">
        <f t="shared" si="22"/>
        <v>0.25641025641025644</v>
      </c>
      <c r="L77" s="15">
        <f t="shared" si="22"/>
        <v>0.26525821596244131</v>
      </c>
      <c r="M77" s="15">
        <f t="shared" si="22"/>
        <v>0.24578313253012046</v>
      </c>
      <c r="N77" s="15">
        <f t="shared" si="22"/>
        <v>0.28965517241379313</v>
      </c>
      <c r="O77" s="15">
        <f t="shared" ref="O77" si="23">O68/O69</f>
        <v>0.24680851063829784</v>
      </c>
    </row>
    <row r="78" spans="1:15" ht="15" x14ac:dyDescent="0.25">
      <c r="A78" s="30"/>
      <c r="B78" s="16" t="s">
        <v>16</v>
      </c>
      <c r="C78" s="17" t="s">
        <v>224</v>
      </c>
      <c r="D78" s="17" t="s">
        <v>225</v>
      </c>
      <c r="E78" s="15">
        <v>31.5</v>
      </c>
      <c r="F78" s="15">
        <v>25</v>
      </c>
      <c r="G78" s="15">
        <v>24</v>
      </c>
      <c r="H78" s="15">
        <v>34.65</v>
      </c>
      <c r="I78" s="15">
        <v>31.6</v>
      </c>
      <c r="J78" s="15">
        <v>27</v>
      </c>
      <c r="K78" s="15">
        <v>27.16</v>
      </c>
      <c r="L78" s="15">
        <v>25</v>
      </c>
      <c r="M78" s="15">
        <v>25.4</v>
      </c>
      <c r="N78" s="15">
        <v>22.8</v>
      </c>
      <c r="O78" s="15">
        <v>37</v>
      </c>
    </row>
    <row r="79" spans="1:15" x14ac:dyDescent="0.25">
      <c r="A79" s="30"/>
      <c r="B79" s="16" t="s">
        <v>17</v>
      </c>
      <c r="C79" s="17" t="s">
        <v>226</v>
      </c>
      <c r="D79" s="17" t="s">
        <v>227</v>
      </c>
      <c r="E79" s="15">
        <v>1.1000000000000001</v>
      </c>
      <c r="F79" s="15">
        <v>0.5</v>
      </c>
      <c r="G79" s="15">
        <v>0.4</v>
      </c>
      <c r="H79" s="15">
        <v>1.5</v>
      </c>
      <c r="I79" s="15">
        <v>1.5</v>
      </c>
      <c r="J79" s="15">
        <v>1.9</v>
      </c>
      <c r="K79" s="15">
        <v>1.1000000000000001</v>
      </c>
      <c r="L79" s="15">
        <v>0.7</v>
      </c>
      <c r="M79" s="15">
        <v>1.9</v>
      </c>
      <c r="N79" s="15">
        <v>2.6</v>
      </c>
      <c r="O79" s="15">
        <v>3.2</v>
      </c>
    </row>
    <row r="80" spans="1:15" ht="16.5" x14ac:dyDescent="0.25">
      <c r="A80" s="30"/>
      <c r="B80" s="16" t="s">
        <v>52</v>
      </c>
      <c r="C80" s="17" t="s">
        <v>228</v>
      </c>
      <c r="D80" s="17" t="s">
        <v>229</v>
      </c>
      <c r="E80" s="15">
        <f>E23/E65</f>
        <v>449.10891089108907</v>
      </c>
      <c r="F80" s="15">
        <f>F23/F65</f>
        <v>453.57142857142856</v>
      </c>
      <c r="G80" s="15">
        <f>G23/G65</f>
        <v>396.0424316605467</v>
      </c>
      <c r="H80" s="15">
        <f>H23/H65</f>
        <v>475.55321390937826</v>
      </c>
      <c r="I80" s="15">
        <f>I23/I65</f>
        <v>442.11801896733402</v>
      </c>
      <c r="J80" s="15">
        <f>J23/J65</f>
        <v>379.78964734996907</v>
      </c>
      <c r="K80" s="15">
        <f>K23/K65</f>
        <v>390.47826086956519</v>
      </c>
      <c r="L80" s="15">
        <f>L23/L65</f>
        <v>361.24721603563478</v>
      </c>
      <c r="M80" s="15">
        <f>M23/M65</f>
        <v>387.52783964365256</v>
      </c>
      <c r="N80" s="15">
        <f>N23/N65</f>
        <v>292.93993677555324</v>
      </c>
      <c r="O80" s="15">
        <f>O23/O65</f>
        <v>341.8709150326797</v>
      </c>
    </row>
    <row r="81" spans="1:29" s="26" customFormat="1" ht="3" customHeight="1" x14ac:dyDescent="0.25">
      <c r="P81" s="28"/>
      <c r="Q81" s="28"/>
      <c r="R81" s="28"/>
      <c r="S81" s="28"/>
      <c r="T81" s="28"/>
      <c r="U81" s="28"/>
      <c r="V81" s="28"/>
      <c r="W81" s="28"/>
      <c r="X81" s="28"/>
      <c r="Y81" s="28"/>
      <c r="Z81" s="28"/>
      <c r="AA81" s="28"/>
      <c r="AB81" s="28"/>
      <c r="AC81" s="28"/>
    </row>
    <row r="82" spans="1:29" x14ac:dyDescent="0.25">
      <c r="A82" s="30" t="s">
        <v>27</v>
      </c>
      <c r="B82" s="16" t="s">
        <v>18</v>
      </c>
      <c r="C82" s="17" t="s">
        <v>28</v>
      </c>
      <c r="D82" s="17" t="s">
        <v>28</v>
      </c>
      <c r="E82" s="10" t="s">
        <v>138</v>
      </c>
      <c r="F82" s="10" t="s">
        <v>138</v>
      </c>
      <c r="G82" s="10" t="s">
        <v>138</v>
      </c>
      <c r="H82" s="10" t="s">
        <v>138</v>
      </c>
      <c r="I82" s="10" t="s">
        <v>138</v>
      </c>
      <c r="J82" s="10" t="s">
        <v>138</v>
      </c>
      <c r="K82" s="10" t="s">
        <v>138</v>
      </c>
      <c r="L82" s="10" t="s">
        <v>138</v>
      </c>
      <c r="M82" s="10" t="s">
        <v>138</v>
      </c>
      <c r="N82" s="10" t="s">
        <v>138</v>
      </c>
      <c r="O82" s="10" t="s">
        <v>138</v>
      </c>
    </row>
    <row r="83" spans="1:29" x14ac:dyDescent="0.25">
      <c r="A83" s="30"/>
      <c r="B83" s="16" t="s">
        <v>56</v>
      </c>
      <c r="C83" s="17" t="s">
        <v>57</v>
      </c>
      <c r="D83" s="17" t="s">
        <v>89</v>
      </c>
      <c r="E83" s="15">
        <v>4.32</v>
      </c>
      <c r="F83" s="15">
        <v>4.45</v>
      </c>
      <c r="G83" s="15">
        <v>4.45</v>
      </c>
      <c r="H83" s="15">
        <v>4.0599999999999996</v>
      </c>
      <c r="I83" s="15">
        <f>H83</f>
        <v>4.0599999999999996</v>
      </c>
      <c r="J83" s="15">
        <v>3.2</v>
      </c>
      <c r="K83" s="15">
        <v>3.44</v>
      </c>
      <c r="L83" s="15">
        <v>4.45</v>
      </c>
      <c r="M83" s="15">
        <v>4.57</v>
      </c>
      <c r="N83" s="15">
        <v>2.87</v>
      </c>
      <c r="O83" s="15">
        <v>3.23</v>
      </c>
    </row>
    <row r="84" spans="1:29" x14ac:dyDescent="0.25">
      <c r="A84" s="30"/>
      <c r="B84" s="16" t="s">
        <v>55</v>
      </c>
      <c r="C84" s="17" t="s">
        <v>58</v>
      </c>
      <c r="D84" s="17" t="s">
        <v>89</v>
      </c>
      <c r="E84" s="15">
        <v>9.74</v>
      </c>
      <c r="F84" s="15">
        <v>7.9</v>
      </c>
      <c r="G84" s="15">
        <v>7.39</v>
      </c>
      <c r="H84" s="15">
        <v>12.78</v>
      </c>
      <c r="I84" s="15">
        <f>H84</f>
        <v>12.78</v>
      </c>
      <c r="J84" s="15">
        <v>8.4600000000000009</v>
      </c>
      <c r="K84" s="15">
        <v>7.58</v>
      </c>
      <c r="L84" s="15">
        <v>6.8</v>
      </c>
      <c r="M84" s="15">
        <v>7.67</v>
      </c>
      <c r="N84" s="15">
        <v>6.22</v>
      </c>
      <c r="O84" s="15">
        <v>9.11</v>
      </c>
    </row>
    <row r="85" spans="1:29" x14ac:dyDescent="0.25">
      <c r="A85" s="30"/>
      <c r="B85" s="16" t="s">
        <v>62</v>
      </c>
      <c r="C85" s="17" t="s">
        <v>59</v>
      </c>
      <c r="D85" s="17" t="s">
        <v>28</v>
      </c>
      <c r="E85" s="15">
        <f>E83/E84</f>
        <v>0.44353182751540043</v>
      </c>
      <c r="F85" s="15">
        <f t="shared" ref="F85" si="24">F83/F84</f>
        <v>0.56329113924050633</v>
      </c>
      <c r="G85" s="15">
        <f t="shared" ref="G85:H85" si="25">G83/G84</f>
        <v>0.60216508795669832</v>
      </c>
      <c r="H85" s="15">
        <f t="shared" si="25"/>
        <v>0.31768388106416273</v>
      </c>
      <c r="I85" s="15">
        <f t="shared" ref="I85:J85" si="26">I83/I84</f>
        <v>0.31768388106416273</v>
      </c>
      <c r="J85" s="15">
        <f t="shared" si="26"/>
        <v>0.37825059101654845</v>
      </c>
      <c r="K85" s="15">
        <f t="shared" ref="K85:M85" si="27">K83/K84</f>
        <v>0.45382585751978893</v>
      </c>
      <c r="L85" s="15">
        <f t="shared" si="27"/>
        <v>0.65441176470588236</v>
      </c>
      <c r="M85" s="15">
        <f t="shared" si="27"/>
        <v>0.5958279009126467</v>
      </c>
      <c r="N85" s="15">
        <f t="shared" ref="N85:O85" si="28">N83/N84</f>
        <v>0.46141479099678462</v>
      </c>
      <c r="O85" s="15">
        <f t="shared" si="28"/>
        <v>0.35455543358946218</v>
      </c>
    </row>
    <row r="86" spans="1:29" x14ac:dyDescent="0.25">
      <c r="A86" s="30"/>
      <c r="B86" s="16" t="s">
        <v>61</v>
      </c>
      <c r="C86" s="17" t="s">
        <v>60</v>
      </c>
      <c r="D86" s="17" t="s">
        <v>28</v>
      </c>
      <c r="E86" s="15">
        <f t="shared" ref="E86:O86" si="29">E83/E66</f>
        <v>0.16482258679893172</v>
      </c>
      <c r="F86" s="15">
        <f t="shared" si="29"/>
        <v>0.20813844714686625</v>
      </c>
      <c r="G86" s="15">
        <f t="shared" si="29"/>
        <v>0.20813844714686625</v>
      </c>
      <c r="H86" s="15">
        <f t="shared" si="29"/>
        <v>0.14171029668411866</v>
      </c>
      <c r="I86" s="15">
        <f t="shared" si="29"/>
        <v>0.14171029668411866</v>
      </c>
      <c r="J86" s="15">
        <f t="shared" si="29"/>
        <v>0.15238095238095239</v>
      </c>
      <c r="K86" s="15">
        <f t="shared" si="29"/>
        <v>0.17916666666666667</v>
      </c>
      <c r="L86" s="15">
        <f t="shared" si="29"/>
        <v>0.21975308641975311</v>
      </c>
      <c r="M86" s="15">
        <f t="shared" si="29"/>
        <v>0.22567901234567903</v>
      </c>
      <c r="N86" s="15">
        <f t="shared" si="29"/>
        <v>0.180389692017599</v>
      </c>
      <c r="O86" s="15">
        <f t="shared" si="29"/>
        <v>0.15315315315315314</v>
      </c>
    </row>
    <row r="87" spans="1:29" x14ac:dyDescent="0.25">
      <c r="A87" s="30"/>
      <c r="B87" s="16" t="s">
        <v>230</v>
      </c>
      <c r="C87" s="17" t="s">
        <v>231</v>
      </c>
      <c r="D87" s="17" t="s">
        <v>28</v>
      </c>
      <c r="E87" s="15">
        <f>E84/E49</f>
        <v>0.42000862440707198</v>
      </c>
      <c r="F87" s="15">
        <f>F84/F49</f>
        <v>0.39050914483440435</v>
      </c>
      <c r="G87" s="15">
        <f>G84/G49</f>
        <v>0.36529906080079089</v>
      </c>
      <c r="H87" s="15">
        <f>H84/H49</f>
        <v>0.42178217821782177</v>
      </c>
      <c r="I87" s="15">
        <f>I84/I49</f>
        <v>0.43322033898305085</v>
      </c>
      <c r="J87" s="15">
        <f>J84/J49</f>
        <v>0.40478468899521536</v>
      </c>
      <c r="K87" s="15">
        <f>K84/K49</f>
        <v>0.37211585665193914</v>
      </c>
      <c r="L87" s="15">
        <f>L84/L49</f>
        <v>0.34552845528455284</v>
      </c>
      <c r="M87" s="15">
        <f>M84/M49</f>
        <v>0.36981677917068467</v>
      </c>
      <c r="N87" s="15">
        <f>N84/N49</f>
        <v>0.39769820971867004</v>
      </c>
      <c r="O87" s="15">
        <f>O84/O49</f>
        <v>0.40615247436469015</v>
      </c>
    </row>
    <row r="88" spans="1:29" x14ac:dyDescent="0.25">
      <c r="A88" s="30"/>
      <c r="B88" s="16" t="s">
        <v>63</v>
      </c>
      <c r="C88" s="17" t="s">
        <v>232</v>
      </c>
      <c r="D88" s="17" t="s">
        <v>28</v>
      </c>
      <c r="E88" s="10">
        <v>2</v>
      </c>
      <c r="F88" s="10">
        <v>2</v>
      </c>
      <c r="G88" s="10">
        <v>2</v>
      </c>
      <c r="H88" s="10">
        <v>2</v>
      </c>
      <c r="I88" s="10">
        <v>2</v>
      </c>
      <c r="J88" s="10">
        <v>2</v>
      </c>
      <c r="K88" s="10">
        <v>2</v>
      </c>
      <c r="L88" s="10">
        <v>2</v>
      </c>
      <c r="M88" s="10">
        <v>2</v>
      </c>
      <c r="N88" s="10">
        <v>2</v>
      </c>
      <c r="O88" s="10">
        <v>2</v>
      </c>
    </row>
    <row r="89" spans="1:29" ht="28.5" x14ac:dyDescent="0.25">
      <c r="A89" s="30"/>
      <c r="B89" s="16" t="s">
        <v>139</v>
      </c>
      <c r="C89" s="17" t="s">
        <v>233</v>
      </c>
      <c r="D89" s="17" t="s">
        <v>89</v>
      </c>
      <c r="E89" s="15">
        <v>0.81299999999999994</v>
      </c>
      <c r="F89" s="15">
        <v>0.73660000000000003</v>
      </c>
      <c r="G89" s="15">
        <v>0.66</v>
      </c>
      <c r="H89" s="15">
        <v>0.96519999999999995</v>
      </c>
      <c r="I89" s="15">
        <f>H89</f>
        <v>0.96519999999999995</v>
      </c>
      <c r="J89" s="15">
        <v>0.67310000000000003</v>
      </c>
      <c r="K89" s="15">
        <v>0.66</v>
      </c>
      <c r="L89" s="15">
        <v>0.85</v>
      </c>
      <c r="M89" s="15">
        <v>0.75</v>
      </c>
      <c r="N89" s="15">
        <v>0.63500000000000001</v>
      </c>
      <c r="O89" s="15">
        <v>0.69</v>
      </c>
    </row>
    <row r="90" spans="1:29" x14ac:dyDescent="0.25">
      <c r="A90" s="30"/>
      <c r="B90" s="16" t="s">
        <v>140</v>
      </c>
      <c r="C90" s="17" t="s">
        <v>234</v>
      </c>
      <c r="D90" s="17" t="s">
        <v>89</v>
      </c>
      <c r="E90" s="15">
        <v>0.26669999999999999</v>
      </c>
      <c r="F90" s="15">
        <v>0.19558</v>
      </c>
      <c r="G90" s="15">
        <v>0.16764000000000001</v>
      </c>
      <c r="H90" s="15">
        <v>0.30480000000000002</v>
      </c>
      <c r="I90" s="15">
        <f>H90</f>
        <v>0.30480000000000002</v>
      </c>
      <c r="J90" s="15">
        <v>0.20319999999999999</v>
      </c>
      <c r="K90" s="15">
        <v>0.16764000000000001</v>
      </c>
      <c r="L90" s="15">
        <v>0.25</v>
      </c>
      <c r="M90" s="15">
        <v>0.22</v>
      </c>
      <c r="N90" s="15">
        <v>0.20319999999999999</v>
      </c>
      <c r="O90" s="15">
        <v>0.23</v>
      </c>
    </row>
    <row r="91" spans="1:29" x14ac:dyDescent="0.25">
      <c r="A91" s="30"/>
      <c r="B91" s="16" t="s">
        <v>141</v>
      </c>
      <c r="C91" s="17" t="s">
        <v>235</v>
      </c>
      <c r="D91" s="17" t="s">
        <v>89</v>
      </c>
      <c r="E91" s="15">
        <v>0.40639999999999998</v>
      </c>
      <c r="F91" s="15">
        <v>0.44450000000000001</v>
      </c>
      <c r="G91" s="15">
        <v>0.36830000000000002</v>
      </c>
      <c r="H91" s="15">
        <v>0.53339999999999999</v>
      </c>
      <c r="I91" s="15">
        <f t="shared" ref="I91:I92" si="30">H91</f>
        <v>0.53339999999999999</v>
      </c>
      <c r="J91" s="15">
        <v>0.4572</v>
      </c>
      <c r="K91" s="15">
        <v>0.4572</v>
      </c>
      <c r="L91" s="15">
        <v>0.53</v>
      </c>
      <c r="M91" s="15">
        <v>0.6</v>
      </c>
      <c r="N91" s="15">
        <v>0.38100000000000001</v>
      </c>
      <c r="O91" s="15">
        <v>0.41</v>
      </c>
    </row>
    <row r="92" spans="1:29" x14ac:dyDescent="0.25">
      <c r="A92" s="30"/>
      <c r="B92" s="16" t="s">
        <v>142</v>
      </c>
      <c r="C92" s="17" t="s">
        <v>236</v>
      </c>
      <c r="D92" s="17" t="s">
        <v>89</v>
      </c>
      <c r="E92" s="15">
        <v>0.15240000000000001</v>
      </c>
      <c r="F92" s="15">
        <v>0.14477999999999999</v>
      </c>
      <c r="G92" s="15">
        <v>0.13969999999999999</v>
      </c>
      <c r="H92" s="15">
        <v>0.18410000000000001</v>
      </c>
      <c r="I92" s="15">
        <f t="shared" si="30"/>
        <v>0.18410000000000001</v>
      </c>
      <c r="J92" s="15">
        <v>0.13969999999999999</v>
      </c>
      <c r="K92" s="15">
        <v>0.11176</v>
      </c>
      <c r="L92" s="15"/>
      <c r="M92" s="15"/>
      <c r="N92" s="15">
        <v>0.15240000000000001</v>
      </c>
      <c r="O92" s="15"/>
    </row>
    <row r="93" spans="1:29" s="26" customFormat="1" ht="3" customHeight="1" x14ac:dyDescent="0.25">
      <c r="P93" s="28"/>
      <c r="Q93" s="28"/>
      <c r="R93" s="28"/>
      <c r="S93" s="28"/>
      <c r="T93" s="28"/>
      <c r="U93" s="28"/>
      <c r="V93" s="28"/>
      <c r="W93" s="28"/>
      <c r="X93" s="28"/>
      <c r="Y93" s="28"/>
      <c r="Z93" s="28"/>
      <c r="AA93" s="28"/>
      <c r="AB93" s="28"/>
      <c r="AC93" s="28"/>
    </row>
    <row r="94" spans="1:29" x14ac:dyDescent="0.25">
      <c r="A94" s="30" t="s">
        <v>21</v>
      </c>
      <c r="B94" s="16" t="s">
        <v>64</v>
      </c>
      <c r="C94" s="17" t="s">
        <v>237</v>
      </c>
      <c r="D94" s="17" t="s">
        <v>99</v>
      </c>
      <c r="E94" s="15">
        <f>294.9*E95</f>
        <v>265.40999999999997</v>
      </c>
      <c r="F94" s="15">
        <f t="shared" ref="F94:G94" si="31">294.9*F95</f>
        <v>256.56299999999999</v>
      </c>
      <c r="G94" s="15">
        <f t="shared" si="31"/>
        <v>254.20379999999997</v>
      </c>
      <c r="H94" s="15">
        <f>901/3.6</f>
        <v>250.27777777777777</v>
      </c>
      <c r="I94" s="15">
        <f>950/3.6</f>
        <v>263.88888888888886</v>
      </c>
      <c r="J94" s="15">
        <f>294.9*J95</f>
        <v>244.76699999999997</v>
      </c>
      <c r="K94" s="15">
        <f t="shared" ref="K94:L94" si="32">294.9*K95</f>
        <v>250.66499999999996</v>
      </c>
      <c r="L94" s="15">
        <f t="shared" si="32"/>
        <v>244.76699999999997</v>
      </c>
      <c r="M94" s="15">
        <f>294.9*M95</f>
        <v>244.76699999999997</v>
      </c>
      <c r="N94" s="15">
        <f>294.9*N95</f>
        <v>230.02199999999999</v>
      </c>
      <c r="O94" s="15">
        <f>978/3.6</f>
        <v>271.66666666666669</v>
      </c>
    </row>
    <row r="95" spans="1:29" x14ac:dyDescent="0.25">
      <c r="A95" s="30"/>
      <c r="B95" s="16" t="s">
        <v>124</v>
      </c>
      <c r="C95" s="17" t="s">
        <v>125</v>
      </c>
      <c r="D95" s="17" t="s">
        <v>28</v>
      </c>
      <c r="E95" s="15">
        <v>0.9</v>
      </c>
      <c r="F95" s="15">
        <v>0.87</v>
      </c>
      <c r="G95" s="15">
        <v>0.86199999999999999</v>
      </c>
      <c r="H95" s="15">
        <f>H94/294.9</f>
        <v>0.84868693719151511</v>
      </c>
      <c r="I95" s="15">
        <v>0.89</v>
      </c>
      <c r="J95" s="15">
        <v>0.83</v>
      </c>
      <c r="K95" s="15">
        <v>0.85</v>
      </c>
      <c r="L95" s="15">
        <v>0.83</v>
      </c>
      <c r="M95" s="15">
        <v>0.83</v>
      </c>
      <c r="N95" s="15">
        <v>0.78</v>
      </c>
      <c r="O95" s="15">
        <f>O94/294.9</f>
        <v>0.92121623149090104</v>
      </c>
    </row>
    <row r="96" spans="1:29" ht="26.25" customHeight="1" x14ac:dyDescent="0.25">
      <c r="A96" s="30"/>
      <c r="B96" s="16" t="s">
        <v>65</v>
      </c>
      <c r="C96" s="17" t="s">
        <v>238</v>
      </c>
      <c r="D96" s="17" t="s">
        <v>99</v>
      </c>
      <c r="E96" s="15">
        <f t="shared" ref="E96:F96" si="33">294.9*E97</f>
        <v>250.66499999999996</v>
      </c>
      <c r="F96" s="15">
        <f t="shared" si="33"/>
        <v>235.92</v>
      </c>
      <c r="G96" s="15">
        <f>294.9*G97</f>
        <v>250.66499999999996</v>
      </c>
      <c r="H96" s="15">
        <f>294.9*H97</f>
        <v>250.66499999999996</v>
      </c>
      <c r="I96" s="15">
        <f>904/3.6</f>
        <v>251.11111111111111</v>
      </c>
      <c r="J96" s="15">
        <f>294.9*J97</f>
        <v>235.92</v>
      </c>
      <c r="K96" s="15">
        <f>850/3.6</f>
        <v>236.11111111111111</v>
      </c>
      <c r="L96" s="15">
        <f>855.6/3.6</f>
        <v>237.66666666666666</v>
      </c>
      <c r="M96" s="15">
        <f>863/3.6</f>
        <v>239.72222222222223</v>
      </c>
      <c r="N96" s="15">
        <f>839/3.6</f>
        <v>233.05555555555554</v>
      </c>
      <c r="O96" s="15">
        <f>294.9*O97</f>
        <v>275.73149999999998</v>
      </c>
    </row>
    <row r="97" spans="1:15" x14ac:dyDescent="0.25">
      <c r="A97" s="30"/>
      <c r="B97" s="16" t="s">
        <v>151</v>
      </c>
      <c r="C97" s="17" t="s">
        <v>239</v>
      </c>
      <c r="D97" s="17" t="s">
        <v>28</v>
      </c>
      <c r="E97" s="15">
        <v>0.85</v>
      </c>
      <c r="F97" s="15">
        <v>0.8</v>
      </c>
      <c r="G97" s="15">
        <v>0.85</v>
      </c>
      <c r="H97" s="15">
        <v>0.85</v>
      </c>
      <c r="I97" s="15">
        <v>0.85</v>
      </c>
      <c r="J97" s="15">
        <v>0.8</v>
      </c>
      <c r="K97" s="15">
        <v>0.8</v>
      </c>
      <c r="L97" s="15">
        <f>L96/294.9</f>
        <v>0.80592291172148756</v>
      </c>
      <c r="M97" s="15">
        <f t="shared" ref="M97:N97" si="34">M96/294.9</f>
        <v>0.81289325948532465</v>
      </c>
      <c r="N97" s="15">
        <f t="shared" si="34"/>
        <v>0.7902867261972043</v>
      </c>
      <c r="O97" s="15">
        <v>0.93500000000000005</v>
      </c>
    </row>
    <row r="98" spans="1:15" ht="28.5" x14ac:dyDescent="0.25">
      <c r="A98" s="30"/>
      <c r="B98" s="16" t="s">
        <v>178</v>
      </c>
      <c r="C98" s="17" t="s">
        <v>240</v>
      </c>
      <c r="D98" s="17" t="s">
        <v>99</v>
      </c>
      <c r="E98" s="15">
        <f>E100/1.13</f>
        <v>60.548672566371685</v>
      </c>
      <c r="F98" s="15">
        <f t="shared" ref="F98:O98" si="35">F100/1.13</f>
        <v>61.008849557522126</v>
      </c>
      <c r="G98" s="15">
        <f t="shared" si="35"/>
        <v>57.362831858407077</v>
      </c>
      <c r="H98" s="15">
        <f t="shared" si="35"/>
        <v>64.646017699115049</v>
      </c>
      <c r="I98" s="15">
        <f t="shared" si="35"/>
        <v>60.548672566371685</v>
      </c>
      <c r="J98" s="15">
        <f t="shared" si="35"/>
        <v>60.548672566371685</v>
      </c>
      <c r="K98" s="15">
        <f t="shared" si="35"/>
        <v>62.37168141592921</v>
      </c>
      <c r="L98" s="15">
        <f t="shared" si="35"/>
        <v>53.26548672566372</v>
      </c>
      <c r="M98" s="15">
        <f t="shared" si="35"/>
        <v>54.628318584070797</v>
      </c>
      <c r="N98" s="15">
        <f t="shared" si="35"/>
        <v>51.442477876106203</v>
      </c>
      <c r="O98" s="15">
        <f t="shared" si="35"/>
        <v>63.283185840707972</v>
      </c>
    </row>
    <row r="99" spans="1:15" ht="28.5" x14ac:dyDescent="0.25">
      <c r="A99" s="30"/>
      <c r="B99" s="16" t="s">
        <v>177</v>
      </c>
      <c r="C99" s="17" t="s">
        <v>241</v>
      </c>
      <c r="D99" s="17" t="s">
        <v>99</v>
      </c>
      <c r="E99" s="15">
        <f>E101/1.3</f>
        <v>41.239316239316231</v>
      </c>
      <c r="F99" s="15">
        <f>F101/1.3</f>
        <v>43.589743589743584</v>
      </c>
      <c r="G99" s="15">
        <f>G101/1.3</f>
        <v>41.452991452991448</v>
      </c>
      <c r="H99" s="15">
        <f t="shared" ref="H99:O99" si="36">H101/1.3</f>
        <v>43.530769230769231</v>
      </c>
      <c r="I99" s="15">
        <f t="shared" si="36"/>
        <v>42.34615384615384</v>
      </c>
      <c r="J99" s="15">
        <f t="shared" si="36"/>
        <v>43.92307692307692</v>
      </c>
      <c r="K99" s="15">
        <f t="shared" si="36"/>
        <v>45.507692307692302</v>
      </c>
      <c r="L99" s="15">
        <f t="shared" si="36"/>
        <v>39.969230769230769</v>
      </c>
      <c r="M99" s="15">
        <f t="shared" si="36"/>
        <v>40.361538461538458</v>
      </c>
      <c r="N99" s="15">
        <f t="shared" si="36"/>
        <v>41.153846153846153</v>
      </c>
      <c r="O99" s="15">
        <f t="shared" si="36"/>
        <v>45.907692307692308</v>
      </c>
    </row>
    <row r="100" spans="1:15" x14ac:dyDescent="0.25">
      <c r="A100" s="30"/>
      <c r="B100" s="16" t="s">
        <v>126</v>
      </c>
      <c r="C100" s="17" t="s">
        <v>242</v>
      </c>
      <c r="D100" s="17" t="s">
        <v>99</v>
      </c>
      <c r="E100" s="15">
        <v>68.42</v>
      </c>
      <c r="F100" s="15">
        <v>68.94</v>
      </c>
      <c r="G100" s="15">
        <v>64.819999999999993</v>
      </c>
      <c r="H100" s="15">
        <v>73.05</v>
      </c>
      <c r="I100" s="15">
        <v>68.42</v>
      </c>
      <c r="J100" s="15">
        <v>68.42</v>
      </c>
      <c r="K100" s="15">
        <v>70.48</v>
      </c>
      <c r="L100" s="15">
        <v>60.19</v>
      </c>
      <c r="M100" s="15">
        <v>61.73</v>
      </c>
      <c r="N100" s="15">
        <v>58.13</v>
      </c>
      <c r="O100" s="15">
        <v>71.510000000000005</v>
      </c>
    </row>
    <row r="101" spans="1:15" ht="33" customHeight="1" x14ac:dyDescent="0.25">
      <c r="A101" s="30"/>
      <c r="B101" s="16" t="s">
        <v>122</v>
      </c>
      <c r="C101" s="17" t="s">
        <v>243</v>
      </c>
      <c r="D101" s="17" t="s">
        <v>99</v>
      </c>
      <c r="E101" s="15">
        <f>193/3.6</f>
        <v>53.611111111111107</v>
      </c>
      <c r="F101" s="15">
        <f>204/3.6</f>
        <v>56.666666666666664</v>
      </c>
      <c r="G101" s="15">
        <f>194/3.6</f>
        <v>53.888888888888886</v>
      </c>
      <c r="H101" s="15">
        <v>56.59</v>
      </c>
      <c r="I101" s="15">
        <v>55.05</v>
      </c>
      <c r="J101" s="15">
        <v>57.1</v>
      </c>
      <c r="K101" s="15">
        <v>59.16</v>
      </c>
      <c r="L101" s="15">
        <v>51.96</v>
      </c>
      <c r="M101" s="15">
        <v>52.47</v>
      </c>
      <c r="N101" s="15">
        <v>53.5</v>
      </c>
      <c r="O101" s="15">
        <v>59.68</v>
      </c>
    </row>
    <row r="102" spans="1:15" x14ac:dyDescent="0.25">
      <c r="A102" s="30"/>
      <c r="B102" s="16" t="s">
        <v>66</v>
      </c>
      <c r="C102" s="17" t="s">
        <v>244</v>
      </c>
      <c r="D102" s="17" t="s">
        <v>99</v>
      </c>
      <c r="E102" s="15">
        <v>9.89</v>
      </c>
      <c r="F102" s="15">
        <v>9.89</v>
      </c>
      <c r="G102" s="15">
        <v>11.06</v>
      </c>
      <c r="H102" s="15">
        <v>8.89</v>
      </c>
      <c r="I102" s="15">
        <v>10.42</v>
      </c>
      <c r="J102" s="15">
        <v>13.43</v>
      </c>
      <c r="K102" s="15">
        <v>13.43</v>
      </c>
      <c r="L102" s="15">
        <v>13.43</v>
      </c>
      <c r="M102" s="15">
        <v>13.43</v>
      </c>
      <c r="N102" s="15">
        <v>12.53</v>
      </c>
      <c r="O102" s="15">
        <v>14.46</v>
      </c>
    </row>
    <row r="103" spans="1:15" x14ac:dyDescent="0.25">
      <c r="A103" s="30"/>
      <c r="B103" s="16" t="s">
        <v>68</v>
      </c>
      <c r="C103" s="17" t="s">
        <v>67</v>
      </c>
      <c r="D103" s="17" t="s">
        <v>98</v>
      </c>
      <c r="E103" s="10">
        <v>11019</v>
      </c>
      <c r="F103" s="10">
        <v>8797</v>
      </c>
      <c r="G103" s="10">
        <v>7408</v>
      </c>
      <c r="H103" s="10">
        <v>11112</v>
      </c>
      <c r="I103" s="10">
        <v>9630</v>
      </c>
      <c r="J103" s="10">
        <v>5926</v>
      </c>
      <c r="K103" s="10">
        <v>6667</v>
      </c>
      <c r="L103" s="10">
        <v>5371</v>
      </c>
      <c r="M103" s="10">
        <v>5788</v>
      </c>
      <c r="N103" s="10">
        <v>3650</v>
      </c>
      <c r="O103" s="10">
        <v>6408</v>
      </c>
    </row>
    <row r="104" spans="1:15" x14ac:dyDescent="0.25">
      <c r="A104" s="30"/>
      <c r="B104" s="16" t="s">
        <v>123</v>
      </c>
      <c r="C104" s="17" t="s">
        <v>245</v>
      </c>
      <c r="D104" s="17" t="s">
        <v>89</v>
      </c>
      <c r="E104" s="10">
        <v>15545</v>
      </c>
      <c r="F104" s="10">
        <v>15545</v>
      </c>
      <c r="G104" s="10">
        <v>14326</v>
      </c>
      <c r="H104" s="10">
        <v>15545</v>
      </c>
      <c r="I104" s="10">
        <v>15545</v>
      </c>
      <c r="J104" s="10">
        <v>13715</v>
      </c>
      <c r="K104" s="10">
        <v>13716</v>
      </c>
      <c r="L104" s="10">
        <v>13716</v>
      </c>
      <c r="M104" s="10">
        <v>13716</v>
      </c>
      <c r="N104" s="10">
        <v>13716</v>
      </c>
      <c r="O104" s="10">
        <v>15545</v>
      </c>
    </row>
    <row r="105" spans="1:15" x14ac:dyDescent="0.25">
      <c r="A105" s="30"/>
      <c r="B105" s="16" t="s">
        <v>128</v>
      </c>
      <c r="C105" s="17" t="s">
        <v>246</v>
      </c>
      <c r="D105" s="17" t="s">
        <v>89</v>
      </c>
      <c r="E105" s="10">
        <f>45000*0.3048</f>
        <v>13716</v>
      </c>
      <c r="F105" s="10">
        <f>39000*0.3048</f>
        <v>11887.2</v>
      </c>
      <c r="G105" s="10">
        <f>45000*0.3048</f>
        <v>13716</v>
      </c>
      <c r="H105" s="10">
        <v>12495</v>
      </c>
      <c r="I105" s="10">
        <v>12497</v>
      </c>
      <c r="J105" s="10">
        <v>13105</v>
      </c>
      <c r="K105" s="10">
        <v>13106</v>
      </c>
      <c r="L105" s="10">
        <v>13411</v>
      </c>
      <c r="M105" s="10">
        <v>13411</v>
      </c>
      <c r="N105" s="10">
        <v>12192</v>
      </c>
      <c r="O105" s="10">
        <v>13716</v>
      </c>
    </row>
    <row r="106" spans="1:15" x14ac:dyDescent="0.25">
      <c r="A106" s="30"/>
      <c r="B106" s="16" t="s">
        <v>19</v>
      </c>
      <c r="C106" s="17" t="s">
        <v>247</v>
      </c>
      <c r="D106" s="17" t="s">
        <v>89</v>
      </c>
      <c r="E106" s="10">
        <v>1740</v>
      </c>
      <c r="F106" s="10">
        <v>1633</v>
      </c>
      <c r="G106" s="10">
        <v>1425</v>
      </c>
      <c r="H106" s="10">
        <v>1972</v>
      </c>
      <c r="I106" s="10">
        <v>1689</v>
      </c>
      <c r="J106" s="10">
        <v>1474</v>
      </c>
      <c r="K106" s="10">
        <v>1448</v>
      </c>
      <c r="L106" s="10">
        <v>1191</v>
      </c>
      <c r="M106" s="10">
        <v>1245</v>
      </c>
      <c r="N106" s="10">
        <v>956</v>
      </c>
      <c r="O106" s="10">
        <v>1600</v>
      </c>
    </row>
    <row r="107" spans="1:15" x14ac:dyDescent="0.25">
      <c r="A107" s="30"/>
      <c r="B107" s="16" t="s">
        <v>20</v>
      </c>
      <c r="C107" s="17" t="s">
        <v>248</v>
      </c>
      <c r="D107" s="17" t="s">
        <v>89</v>
      </c>
      <c r="E107" s="10">
        <v>631</v>
      </c>
      <c r="F107" s="10">
        <v>736</v>
      </c>
      <c r="G107" s="10">
        <v>689</v>
      </c>
      <c r="H107" s="10">
        <v>682</v>
      </c>
      <c r="I107" s="10">
        <v>673</v>
      </c>
      <c r="J107" s="10">
        <v>721</v>
      </c>
      <c r="K107" s="10">
        <v>829</v>
      </c>
      <c r="L107" s="10">
        <v>637</v>
      </c>
      <c r="M107" s="10">
        <v>647</v>
      </c>
      <c r="N107" s="10">
        <v>799</v>
      </c>
      <c r="O107" s="10">
        <v>1015</v>
      </c>
    </row>
    <row r="108" spans="1:15" s="34" customFormat="1" ht="3" customHeight="1" x14ac:dyDescent="0.25"/>
  </sheetData>
  <mergeCells count="10">
    <mergeCell ref="A62:A80"/>
    <mergeCell ref="A108:XFD108"/>
    <mergeCell ref="A94:A107"/>
    <mergeCell ref="A2:A8"/>
    <mergeCell ref="A10:A21"/>
    <mergeCell ref="A23:A37"/>
    <mergeCell ref="A82:A92"/>
    <mergeCell ref="A49:A55"/>
    <mergeCell ref="A39:A47"/>
    <mergeCell ref="A59:A60"/>
  </mergeCells>
  <conditionalFormatting sqref="E30:O30">
    <cfRule type="expression" dxfId="1" priority="1">
      <formula>INDIRECT(ADDRESS(32,COLUMN()))&lt;INDIRECT(ADDRESS(31,COLUMN()))</formula>
    </cfRule>
    <cfRule type="expression" dxfId="0" priority="2">
      <formula>INDIRECT(ADDRESS(32,COLUMN()))&lt;INDIRECT(ADDRESS(30,COLUMN()))</formula>
    </cfRule>
  </conditionalFormatting>
  <printOptions horizontalCentered="1" verticalCentered="1"/>
  <pageMargins left="0.23622047244094491" right="0.23622047244094491" top="0.74803149606299213" bottom="0.74803149606299213" header="0.31496062992125984" footer="0.31496062992125984"/>
  <pageSetup paperSize="9" scale="81" fitToWidth="3" fitToHeight="15" pageOrder="overThenDown" orientation="portrait" horizontalDpi="1200" verticalDpi="1200" r:id="rId1"/>
  <rowBreaks count="1" manualBreakCount="1">
    <brk id="57" max="16383" man="1"/>
  </rowBreaks>
  <colBreaks count="1" manualBreakCount="1">
    <brk id="15" max="109" man="1"/>
  </colBreaks>
  <ignoredErrors>
    <ignoredError sqref="F101 F105" formula="1"/>
  </ignoredErrors>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2"/>
  <sheetViews>
    <sheetView workbookViewId="0">
      <selection activeCell="F7" sqref="F7"/>
    </sheetView>
  </sheetViews>
  <sheetFormatPr baseColWidth="10" defaultColWidth="9.140625" defaultRowHeight="15" x14ac:dyDescent="0.25"/>
  <cols>
    <col min="1" max="1" width="19.140625" customWidth="1"/>
    <col min="2" max="2" width="12" customWidth="1"/>
    <col min="3" max="3" width="12.7109375" customWidth="1"/>
  </cols>
  <sheetData>
    <row r="1" spans="1:3" ht="17.25" x14ac:dyDescent="0.25">
      <c r="A1" s="2" t="s">
        <v>156</v>
      </c>
      <c r="B1" s="3" t="s">
        <v>154</v>
      </c>
      <c r="C1" s="1">
        <v>9.8066499999999994</v>
      </c>
    </row>
    <row r="2" spans="1:3" ht="17.25" x14ac:dyDescent="0.25">
      <c r="A2" s="2" t="s">
        <v>155</v>
      </c>
      <c r="B2" s="3" t="s">
        <v>157</v>
      </c>
      <c r="C2" s="1">
        <v>32.173999999999999</v>
      </c>
    </row>
    <row r="3" spans="1:3" x14ac:dyDescent="0.25">
      <c r="A3" s="2" t="s">
        <v>166</v>
      </c>
      <c r="B3" s="3" t="s">
        <v>90</v>
      </c>
      <c r="C3" s="1">
        <f>CONVERT(C4,"lbm","kg")</f>
        <v>90.718474000000001</v>
      </c>
    </row>
    <row r="4" spans="1:3" x14ac:dyDescent="0.25">
      <c r="A4" s="2" t="s">
        <v>161</v>
      </c>
      <c r="B4" s="3" t="s">
        <v>158</v>
      </c>
      <c r="C4" s="1">
        <v>200</v>
      </c>
    </row>
    <row r="5" spans="1:3" x14ac:dyDescent="0.25">
      <c r="A5" s="2" t="s">
        <v>167</v>
      </c>
      <c r="B5" s="3" t="s">
        <v>90</v>
      </c>
      <c r="C5" s="1">
        <f>CONVERT(C6,"lbm","kg")</f>
        <v>79.378664749999999</v>
      </c>
    </row>
    <row r="6" spans="1:3" x14ac:dyDescent="0.25">
      <c r="A6" s="2" t="s">
        <v>162</v>
      </c>
      <c r="B6" s="3" t="s">
        <v>158</v>
      </c>
      <c r="C6" s="1">
        <v>175</v>
      </c>
    </row>
    <row r="7" spans="1:3" x14ac:dyDescent="0.25">
      <c r="A7" s="2" t="s">
        <v>168</v>
      </c>
      <c r="B7" s="3" t="s">
        <v>90</v>
      </c>
      <c r="C7" s="1">
        <f>CONVERT(C8,"lbm","kg")</f>
        <v>18.143694800000002</v>
      </c>
    </row>
    <row r="8" spans="1:3" x14ac:dyDescent="0.25">
      <c r="A8" s="2" t="s">
        <v>163</v>
      </c>
      <c r="B8" s="3" t="s">
        <v>158</v>
      </c>
      <c r="C8" s="1">
        <v>40</v>
      </c>
    </row>
    <row r="9" spans="1:3" x14ac:dyDescent="0.25">
      <c r="A9" s="2" t="s">
        <v>165</v>
      </c>
      <c r="B9" s="3" t="s">
        <v>90</v>
      </c>
      <c r="C9" s="1">
        <f>CONVERT(C10,"lbm","kg")</f>
        <v>13.607771100000001</v>
      </c>
    </row>
    <row r="10" spans="1:3" x14ac:dyDescent="0.25">
      <c r="A10" s="2" t="s">
        <v>164</v>
      </c>
      <c r="B10" s="3" t="s">
        <v>158</v>
      </c>
      <c r="C10" s="1">
        <v>30</v>
      </c>
    </row>
    <row r="11" spans="1:3" x14ac:dyDescent="0.25">
      <c r="A11" s="2"/>
      <c r="B11" s="3"/>
    </row>
    <row r="12" spans="1:3" x14ac:dyDescent="0.25">
      <c r="A12" s="2"/>
      <c r="B12" s="3"/>
    </row>
  </sheetData>
  <pageMargins left="0.7" right="0.7" top="0.75" bottom="0.75" header="0.3" footer="0.3"/>
  <pageSetup paperSize="9" orientation="portrait" horizontalDpi="1200" verticalDpi="12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vt:i4>
      </vt:variant>
      <vt:variant>
        <vt:lpstr>Rangos con nombre</vt:lpstr>
      </vt:variant>
      <vt:variant>
        <vt:i4>1</vt:i4>
      </vt:variant>
    </vt:vector>
  </HeadingPairs>
  <TitlesOfParts>
    <vt:vector size="3" baseType="lpstr">
      <vt:lpstr>Aviones Semejantes Long-Range</vt:lpstr>
      <vt:lpstr>Constants</vt:lpstr>
      <vt:lpstr>'Aviones Semejantes Long-Range'!Área_de_impresión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2017-08-26T11:31:32Z</dcterms:modified>
</cp:coreProperties>
</file>